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fd61b0e0733b5c/Documents/"/>
    </mc:Choice>
  </mc:AlternateContent>
  <xr:revisionPtr revIDLastSave="0" documentId="8_{11CED51F-4623-4B86-B13E-290F5A19D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ense Trend" sheetId="7" r:id="rId1"/>
    <sheet name="Detail Stmt Mar &amp; Apr" sheetId="4" r:id="rId2"/>
    <sheet name="Detail Stmt Jan &amp; Feb" sheetId="3" r:id="rId3"/>
    <sheet name="Detail Stmt Nov &amp; Dec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8" i="7" l="1"/>
  <c r="AF24" i="7" s="1"/>
  <c r="AD18" i="7"/>
  <c r="AD24" i="7" s="1"/>
  <c r="AB18" i="7"/>
  <c r="AB24" i="7" s="1"/>
  <c r="R18" i="7"/>
  <c r="R24" i="7" s="1"/>
  <c r="I18" i="7"/>
  <c r="I24" i="7" s="1"/>
  <c r="AH16" i="7"/>
  <c r="AH21" i="7"/>
  <c r="Z17" i="7"/>
  <c r="AH17" i="7" s="1"/>
  <c r="AF124" i="7"/>
  <c r="AD124" i="7"/>
  <c r="AB124" i="7"/>
  <c r="Z124" i="7"/>
  <c r="R113" i="7"/>
  <c r="I113" i="7"/>
  <c r="R95" i="7"/>
  <c r="I95" i="7"/>
  <c r="D95" i="7"/>
  <c r="C95" i="7"/>
  <c r="B95" i="7"/>
  <c r="E92" i="7"/>
  <c r="B91" i="7"/>
  <c r="E91" i="7" s="1"/>
  <c r="J84" i="7"/>
  <c r="I82" i="7" s="1"/>
  <c r="R82" i="7"/>
  <c r="R78" i="7"/>
  <c r="D78" i="7"/>
  <c r="C78" i="7"/>
  <c r="B78" i="7"/>
  <c r="R66" i="7"/>
  <c r="I66" i="7"/>
  <c r="R54" i="7"/>
  <c r="I54" i="7"/>
  <c r="D54" i="7"/>
  <c r="C54" i="7"/>
  <c r="B54" i="7"/>
  <c r="D53" i="7"/>
  <c r="C53" i="7"/>
  <c r="E52" i="7"/>
  <c r="D50" i="7"/>
  <c r="C50" i="7"/>
  <c r="B50" i="7"/>
  <c r="R47" i="7"/>
  <c r="C47" i="7"/>
  <c r="B47" i="7"/>
  <c r="R44" i="7"/>
  <c r="D44" i="7"/>
  <c r="D47" i="7" s="1"/>
  <c r="I42" i="7"/>
  <c r="D42" i="7"/>
  <c r="C42" i="7"/>
  <c r="B42" i="7"/>
  <c r="R38" i="7"/>
  <c r="I38" i="7"/>
  <c r="D38" i="7"/>
  <c r="C38" i="7"/>
  <c r="B38" i="7"/>
  <c r="I35" i="7"/>
  <c r="C35" i="7"/>
  <c r="E35" i="7" s="1"/>
  <c r="R33" i="7"/>
  <c r="D33" i="7"/>
  <c r="C33" i="7"/>
  <c r="B33" i="7"/>
  <c r="R29" i="7"/>
  <c r="D29" i="7"/>
  <c r="C29" i="7"/>
  <c r="B28" i="7"/>
  <c r="E28" i="7" s="1"/>
  <c r="D27" i="7"/>
  <c r="B27" i="7"/>
  <c r="D15" i="7"/>
  <c r="C15" i="7"/>
  <c r="B15" i="7"/>
  <c r="D14" i="7"/>
  <c r="E14" i="7" s="1"/>
  <c r="C13" i="7"/>
  <c r="E13" i="7" s="1"/>
  <c r="D12" i="7"/>
  <c r="B12" i="7"/>
  <c r="D11" i="7"/>
  <c r="E11" i="7" s="1"/>
  <c r="D10" i="7"/>
  <c r="C10" i="7"/>
  <c r="B10" i="7"/>
  <c r="D9" i="7"/>
  <c r="C9" i="7"/>
  <c r="B9" i="7"/>
  <c r="D8" i="7"/>
  <c r="C8" i="7"/>
  <c r="B8" i="7"/>
  <c r="B7" i="7"/>
  <c r="E7" i="7" s="1"/>
  <c r="R47" i="4"/>
  <c r="R23" i="4"/>
  <c r="R134" i="4"/>
  <c r="R101" i="4"/>
  <c r="R91" i="4"/>
  <c r="R79" i="4"/>
  <c r="R60" i="4"/>
  <c r="R38" i="4"/>
  <c r="R30" i="4"/>
  <c r="R96" i="4"/>
  <c r="I44" i="4"/>
  <c r="I38" i="4"/>
  <c r="I30" i="4"/>
  <c r="I125" i="4"/>
  <c r="I110" i="4"/>
  <c r="I101" i="4"/>
  <c r="I91" i="4"/>
  <c r="I79" i="4"/>
  <c r="I60" i="4"/>
  <c r="I117" i="4"/>
  <c r="I134" i="4"/>
  <c r="D125" i="4"/>
  <c r="C125" i="4"/>
  <c r="B125" i="4"/>
  <c r="I120" i="4"/>
  <c r="E119" i="4"/>
  <c r="B117" i="4"/>
  <c r="E117" i="4" s="1"/>
  <c r="D101" i="4"/>
  <c r="C101" i="4"/>
  <c r="B101" i="4"/>
  <c r="E101" i="4" s="1"/>
  <c r="I76" i="4"/>
  <c r="D60" i="4"/>
  <c r="C60" i="4"/>
  <c r="B60" i="4"/>
  <c r="E60" i="4" s="1"/>
  <c r="D58" i="4"/>
  <c r="C58" i="4"/>
  <c r="E58" i="4" s="1"/>
  <c r="E56" i="4"/>
  <c r="I53" i="4"/>
  <c r="D53" i="4"/>
  <c r="C53" i="4"/>
  <c r="B53" i="4"/>
  <c r="E53" i="4" s="1"/>
  <c r="I47" i="4"/>
  <c r="C47" i="4"/>
  <c r="B47" i="4"/>
  <c r="D40" i="4"/>
  <c r="D38" i="4"/>
  <c r="C38" i="4"/>
  <c r="B38" i="4"/>
  <c r="E38" i="4" s="1"/>
  <c r="D36" i="4"/>
  <c r="C36" i="4"/>
  <c r="B36" i="4"/>
  <c r="E36" i="4" s="1"/>
  <c r="C32" i="4"/>
  <c r="E32" i="4" s="1"/>
  <c r="D30" i="4"/>
  <c r="C30" i="4"/>
  <c r="B30" i="4"/>
  <c r="E30" i="4" s="1"/>
  <c r="R154" i="4"/>
  <c r="R162" i="4" s="1"/>
  <c r="D23" i="4"/>
  <c r="C23" i="4"/>
  <c r="E23" i="4" s="1"/>
  <c r="B22" i="4"/>
  <c r="E22" i="4" s="1"/>
  <c r="D21" i="4"/>
  <c r="B21" i="4"/>
  <c r="D15" i="4"/>
  <c r="C15" i="4"/>
  <c r="B15" i="4"/>
  <c r="E15" i="4" s="1"/>
  <c r="D14" i="4"/>
  <c r="E14" i="4" s="1"/>
  <c r="C13" i="4"/>
  <c r="E13" i="4" s="1"/>
  <c r="D12" i="4"/>
  <c r="B12" i="4"/>
  <c r="E12" i="4" s="1"/>
  <c r="D11" i="4"/>
  <c r="E11" i="4" s="1"/>
  <c r="D10" i="4"/>
  <c r="C10" i="4"/>
  <c r="B10" i="4"/>
  <c r="E10" i="4" s="1"/>
  <c r="D9" i="4"/>
  <c r="C9" i="4"/>
  <c r="B9" i="4"/>
  <c r="E9" i="4" s="1"/>
  <c r="D8" i="4"/>
  <c r="D16" i="4" s="1"/>
  <c r="D17" i="4" s="1"/>
  <c r="C8" i="4"/>
  <c r="B8" i="4"/>
  <c r="B7" i="4"/>
  <c r="R125" i="3"/>
  <c r="S88" i="3"/>
  <c r="R117" i="3"/>
  <c r="R108" i="3"/>
  <c r="R94" i="3"/>
  <c r="R85" i="3"/>
  <c r="R71" i="3"/>
  <c r="R61" i="3"/>
  <c r="R41" i="3"/>
  <c r="R36" i="3"/>
  <c r="S32" i="3"/>
  <c r="R28" i="3"/>
  <c r="R24" i="3"/>
  <c r="I108" i="3"/>
  <c r="I117" i="3"/>
  <c r="I103" i="3"/>
  <c r="I94" i="3"/>
  <c r="I79" i="3"/>
  <c r="I71" i="3"/>
  <c r="I61" i="3"/>
  <c r="I49" i="3"/>
  <c r="I36" i="3"/>
  <c r="I41" i="3"/>
  <c r="I68" i="3"/>
  <c r="I28" i="3"/>
  <c r="I54" i="3"/>
  <c r="D108" i="3"/>
  <c r="C108" i="3"/>
  <c r="B108" i="3"/>
  <c r="E108" i="3" s="1"/>
  <c r="E102" i="3"/>
  <c r="B101" i="3"/>
  <c r="E101" i="3" s="1"/>
  <c r="D85" i="3"/>
  <c r="C85" i="3"/>
  <c r="B85" i="3"/>
  <c r="D61" i="3"/>
  <c r="C61" i="3"/>
  <c r="B61" i="3"/>
  <c r="E61" i="3" s="1"/>
  <c r="D59" i="3"/>
  <c r="C59" i="3"/>
  <c r="E59" i="3" s="1"/>
  <c r="E57" i="3"/>
  <c r="D54" i="3"/>
  <c r="C54" i="3"/>
  <c r="B54" i="3"/>
  <c r="C49" i="3"/>
  <c r="B49" i="3"/>
  <c r="D43" i="3"/>
  <c r="D41" i="3"/>
  <c r="C41" i="3"/>
  <c r="B41" i="3"/>
  <c r="D36" i="3"/>
  <c r="C36" i="3"/>
  <c r="B36" i="3"/>
  <c r="E36" i="3" s="1"/>
  <c r="C30" i="3"/>
  <c r="E30" i="3" s="1"/>
  <c r="D28" i="3"/>
  <c r="C28" i="3"/>
  <c r="B28" i="3"/>
  <c r="E28" i="3" s="1"/>
  <c r="D24" i="3"/>
  <c r="C24" i="3"/>
  <c r="B22" i="3"/>
  <c r="E22" i="3" s="1"/>
  <c r="D21" i="3"/>
  <c r="B21" i="3"/>
  <c r="D15" i="3"/>
  <c r="C15" i="3"/>
  <c r="B15" i="3"/>
  <c r="E15" i="3" s="1"/>
  <c r="D14" i="3"/>
  <c r="E14" i="3" s="1"/>
  <c r="C13" i="3"/>
  <c r="E13" i="3" s="1"/>
  <c r="D12" i="3"/>
  <c r="B12" i="3"/>
  <c r="E12" i="3" s="1"/>
  <c r="D11" i="3"/>
  <c r="E11" i="3" s="1"/>
  <c r="D10" i="3"/>
  <c r="C10" i="3"/>
  <c r="B10" i="3"/>
  <c r="E10" i="3" s="1"/>
  <c r="D9" i="3"/>
  <c r="C9" i="3"/>
  <c r="B9" i="3"/>
  <c r="D8" i="3"/>
  <c r="D16" i="3" s="1"/>
  <c r="D17" i="3" s="1"/>
  <c r="C8" i="3"/>
  <c r="C16" i="3" s="1"/>
  <c r="C17" i="3" s="1"/>
  <c r="B8" i="3"/>
  <c r="B7" i="3"/>
  <c r="R62" i="2"/>
  <c r="R110" i="2"/>
  <c r="R92" i="2"/>
  <c r="R79" i="2"/>
  <c r="R33" i="2"/>
  <c r="R42" i="2"/>
  <c r="R39" i="2"/>
  <c r="R74" i="2"/>
  <c r="R50" i="2"/>
  <c r="R24" i="2"/>
  <c r="R28" i="2"/>
  <c r="J81" i="2"/>
  <c r="I110" i="2"/>
  <c r="I79" i="2"/>
  <c r="I92" i="2"/>
  <c r="I62" i="2"/>
  <c r="I50" i="2"/>
  <c r="I37" i="2"/>
  <c r="I33" i="2"/>
  <c r="I30" i="2"/>
  <c r="D92" i="2"/>
  <c r="C92" i="2"/>
  <c r="B92" i="2"/>
  <c r="E89" i="2"/>
  <c r="B88" i="2"/>
  <c r="E88" i="2" s="1"/>
  <c r="D74" i="2"/>
  <c r="C74" i="2"/>
  <c r="B74" i="2"/>
  <c r="D50" i="2"/>
  <c r="C50" i="2"/>
  <c r="B50" i="2"/>
  <c r="D49" i="2"/>
  <c r="C49" i="2"/>
  <c r="E47" i="2"/>
  <c r="D45" i="2"/>
  <c r="C45" i="2"/>
  <c r="B45" i="2"/>
  <c r="E45" i="2" s="1"/>
  <c r="D39" i="2"/>
  <c r="E39" i="2" s="1"/>
  <c r="C42" i="2"/>
  <c r="D37" i="2"/>
  <c r="C37" i="2"/>
  <c r="B37" i="2"/>
  <c r="D33" i="2"/>
  <c r="C33" i="2"/>
  <c r="B33" i="2"/>
  <c r="C30" i="2"/>
  <c r="E30" i="2" s="1"/>
  <c r="D28" i="2"/>
  <c r="C28" i="2"/>
  <c r="B28" i="2"/>
  <c r="D24" i="2"/>
  <c r="C24" i="2"/>
  <c r="B23" i="2"/>
  <c r="E23" i="2" s="1"/>
  <c r="D22" i="2"/>
  <c r="B22" i="2"/>
  <c r="D16" i="2"/>
  <c r="C16" i="2"/>
  <c r="B16" i="2"/>
  <c r="D15" i="2"/>
  <c r="E15" i="2" s="1"/>
  <c r="C14" i="2"/>
  <c r="E14" i="2" s="1"/>
  <c r="D13" i="2"/>
  <c r="B13" i="2"/>
  <c r="D12" i="2"/>
  <c r="E12" i="2" s="1"/>
  <c r="D11" i="2"/>
  <c r="C11" i="2"/>
  <c r="B11" i="2"/>
  <c r="D10" i="2"/>
  <c r="C10" i="2"/>
  <c r="B10" i="2"/>
  <c r="E10" i="2" s="1"/>
  <c r="D9" i="2"/>
  <c r="C9" i="2"/>
  <c r="B9" i="2"/>
  <c r="B8" i="2"/>
  <c r="AB127" i="7" l="1"/>
  <c r="AD127" i="7"/>
  <c r="AF127" i="7"/>
  <c r="Z18" i="7"/>
  <c r="Z24" i="7" s="1"/>
  <c r="Z127" i="7" s="1"/>
  <c r="AI18" i="7"/>
  <c r="E29" i="7"/>
  <c r="E95" i="7"/>
  <c r="E27" i="7"/>
  <c r="E38" i="7"/>
  <c r="E15" i="7"/>
  <c r="E54" i="7"/>
  <c r="E8" i="7"/>
  <c r="E42" i="7"/>
  <c r="E33" i="7"/>
  <c r="C24" i="7"/>
  <c r="D24" i="7"/>
  <c r="E10" i="7"/>
  <c r="E50" i="7"/>
  <c r="E53" i="7"/>
  <c r="E9" i="7"/>
  <c r="E12" i="7"/>
  <c r="B24" i="7"/>
  <c r="E78" i="7"/>
  <c r="I124" i="7"/>
  <c r="I127" i="7" s="1"/>
  <c r="R124" i="7"/>
  <c r="R127" i="7" s="1"/>
  <c r="E47" i="7"/>
  <c r="E44" i="7"/>
  <c r="E9" i="2"/>
  <c r="C17" i="2"/>
  <c r="C18" i="2" s="1"/>
  <c r="E37" i="2"/>
  <c r="D42" i="2"/>
  <c r="E8" i="3"/>
  <c r="E24" i="3"/>
  <c r="E85" i="3"/>
  <c r="C16" i="4"/>
  <c r="C17" i="4" s="1"/>
  <c r="E21" i="4"/>
  <c r="D17" i="2"/>
  <c r="D18" i="2" s="1"/>
  <c r="E11" i="2"/>
  <c r="E13" i="2"/>
  <c r="E16" i="2"/>
  <c r="E28" i="2"/>
  <c r="E33" i="2"/>
  <c r="E21" i="3"/>
  <c r="E41" i="3"/>
  <c r="E125" i="4"/>
  <c r="E74" i="2"/>
  <c r="E9" i="3"/>
  <c r="E54" i="3"/>
  <c r="E8" i="4"/>
  <c r="R136" i="3"/>
  <c r="I154" i="4"/>
  <c r="I163" i="4" s="1"/>
  <c r="B16" i="4"/>
  <c r="E7" i="4"/>
  <c r="D47" i="4"/>
  <c r="E40" i="4"/>
  <c r="E47" i="4"/>
  <c r="I136" i="3"/>
  <c r="B16" i="3"/>
  <c r="E7" i="3"/>
  <c r="D49" i="3"/>
  <c r="E49" i="3" s="1"/>
  <c r="E43" i="3"/>
  <c r="R121" i="2"/>
  <c r="I121" i="2"/>
  <c r="B17" i="2"/>
  <c r="E8" i="2"/>
  <c r="E22" i="2"/>
  <c r="E24" i="2"/>
  <c r="B42" i="2"/>
  <c r="E49" i="2"/>
  <c r="E50" i="2"/>
  <c r="E92" i="2"/>
  <c r="AH24" i="7" l="1"/>
  <c r="AH18" i="7"/>
  <c r="AF129" i="7"/>
  <c r="E24" i="7"/>
  <c r="AH124" i="7"/>
  <c r="B17" i="4"/>
  <c r="E17" i="4" s="1"/>
  <c r="E16" i="4"/>
  <c r="B17" i="3"/>
  <c r="E17" i="3" s="1"/>
  <c r="E16" i="3"/>
  <c r="E42" i="2"/>
  <c r="B18" i="2"/>
  <c r="E17" i="2"/>
  <c r="E18" i="2" l="1"/>
</calcChain>
</file>

<file path=xl/sharedStrings.xml><?xml version="1.0" encoding="utf-8"?>
<sst xmlns="http://schemas.openxmlformats.org/spreadsheetml/2006/main" count="683" uniqueCount="193">
  <si>
    <t>Oct 2023</t>
  </si>
  <si>
    <t>Nov 2023</t>
  </si>
  <si>
    <t>Dec 2023</t>
  </si>
  <si>
    <t>Total</t>
  </si>
  <si>
    <t>Revenue</t>
  </si>
  <si>
    <t xml:space="preserve">   Application Fee</t>
  </si>
  <si>
    <t xml:space="preserve">   Dock Fee</t>
  </si>
  <si>
    <t xml:space="preserve">   HOA Income</t>
  </si>
  <si>
    <t xml:space="preserve">   Insurance</t>
  </si>
  <si>
    <t xml:space="preserve">   Laundry</t>
  </si>
  <si>
    <t xml:space="preserve">   Parking/Gate Pass</t>
  </si>
  <si>
    <t xml:space="preserve">   Sales</t>
  </si>
  <si>
    <t xml:space="preserve">   Special Assessment Income</t>
  </si>
  <si>
    <t xml:space="preserve">   Unapplied Cash Payment Income</t>
  </si>
  <si>
    <t>Total Revenue</t>
  </si>
  <si>
    <t>Expenditures</t>
  </si>
  <si>
    <t xml:space="preserve">   Applicant Background Checks</t>
  </si>
  <si>
    <t xml:space="preserve">   Bank Charges</t>
  </si>
  <si>
    <t xml:space="preserve">   Insurance Expense</t>
  </si>
  <si>
    <t xml:space="preserve">   Landscaping and Groundskeeping</t>
  </si>
  <si>
    <t xml:space="preserve">   Office Expense</t>
  </si>
  <si>
    <t xml:space="preserve">   Office Supplies</t>
  </si>
  <si>
    <t xml:space="preserve">      Janitorial</t>
  </si>
  <si>
    <t xml:space="preserve">      Pest Control</t>
  </si>
  <si>
    <t xml:space="preserve">   Utilities</t>
  </si>
  <si>
    <t xml:space="preserve">      Trash Removal</t>
  </si>
  <si>
    <t>Island Club Four, Inc</t>
  </si>
  <si>
    <t>Statement of Activity by Month</t>
  </si>
  <si>
    <t>Nov Operating</t>
  </si>
  <si>
    <t>Top Notch HVAC</t>
  </si>
  <si>
    <t>First Ins</t>
  </si>
  <si>
    <t>TG Oil Svcs - Elevator Pit</t>
  </si>
  <si>
    <t>Bill Broders? Inv 3430</t>
  </si>
  <si>
    <t>Comcast</t>
  </si>
  <si>
    <t>Riteway Cleaning</t>
  </si>
  <si>
    <t>Steve Stephene Reimbusment</t>
  </si>
  <si>
    <t xml:space="preserve">ADT </t>
  </si>
  <si>
    <t>Native Pest Control</t>
  </si>
  <si>
    <t>Pye Barker Fire Sprinklers</t>
  </si>
  <si>
    <t>Hitman ?</t>
  </si>
  <si>
    <t>Coastal Trash Removal</t>
  </si>
  <si>
    <t>FP&amp;L</t>
  </si>
  <si>
    <t>Wasserstein</t>
  </si>
  <si>
    <t>Xfinity</t>
  </si>
  <si>
    <t>Empire</t>
  </si>
  <si>
    <t>Judy Reis taking Minutes</t>
  </si>
  <si>
    <t>James Rivoli Reimbursement</t>
  </si>
  <si>
    <t>Deleware Elevator</t>
  </si>
  <si>
    <t>Donna Arzinger Reimbursement</t>
  </si>
  <si>
    <t>American Door O-305</t>
  </si>
  <si>
    <t>Florida Property Supply</t>
  </si>
  <si>
    <t>Mary Lasek (60 hours)</t>
  </si>
  <si>
    <t>Robmar Construction</t>
  </si>
  <si>
    <t>Comcast Auto Withdrawl Truist</t>
  </si>
  <si>
    <t xml:space="preserve"> </t>
  </si>
  <si>
    <t>FP&amp;L Auto Withdrawl Truist</t>
  </si>
  <si>
    <t>Deluxe Withdrawl from Truist</t>
  </si>
  <si>
    <t>Returned Fee and Adjustments (Bounced Checks?)</t>
  </si>
  <si>
    <t>Return Fee N406</t>
  </si>
  <si>
    <t>Return Fee M303</t>
  </si>
  <si>
    <t>Return Fee N103</t>
  </si>
  <si>
    <t>Return Fee K205</t>
  </si>
  <si>
    <t>Auto Withdrawl Truist</t>
  </si>
  <si>
    <t>Lowes Auto Withdrawl Truist</t>
  </si>
  <si>
    <t xml:space="preserve">  Software</t>
  </si>
  <si>
    <t xml:space="preserve">  Accounting Fees Sterling</t>
  </si>
  <si>
    <t xml:space="preserve">  Legal Services</t>
  </si>
  <si>
    <t xml:space="preserve">  Payroll Expenses</t>
  </si>
  <si>
    <t xml:space="preserve">  Cable</t>
  </si>
  <si>
    <t xml:space="preserve">  Elevator</t>
  </si>
  <si>
    <t xml:space="preserve"> Supplies</t>
  </si>
  <si>
    <t>Other Expenses</t>
  </si>
  <si>
    <t xml:space="preserve">  Telephone Expense</t>
  </si>
  <si>
    <t xml:space="preserve">  Electric</t>
  </si>
  <si>
    <t xml:space="preserve">  Returned Fee and Adjustments (Bounced Checks?)</t>
  </si>
  <si>
    <t xml:space="preserve">  A/C</t>
  </si>
  <si>
    <t xml:space="preserve">  Building</t>
  </si>
  <si>
    <t>Repairs and Maintenance</t>
  </si>
  <si>
    <t>Total Expenses</t>
  </si>
  <si>
    <t>December Operating</t>
  </si>
  <si>
    <t>ADT</t>
  </si>
  <si>
    <t>Applicant Information?</t>
  </si>
  <si>
    <t>Lowes</t>
  </si>
  <si>
    <t>Broward Marine</t>
  </si>
  <si>
    <t>Southern Chute</t>
  </si>
  <si>
    <t>Orkin</t>
  </si>
  <si>
    <t>Thompson Door Frame Rmb.</t>
  </si>
  <si>
    <t>IC Rec Center</t>
  </si>
  <si>
    <t>Mary Lasek (70.5 hours)</t>
  </si>
  <si>
    <t xml:space="preserve">  Website</t>
  </si>
  <si>
    <t>Radek Gancarczyk</t>
  </si>
  <si>
    <t>Mary Lasek Reimbursement Office Depot</t>
  </si>
  <si>
    <t>Mary Lasek Truist Withdrawl</t>
  </si>
  <si>
    <t>Mary Lasek Truist Withdrawl (Placeholder 12/14 ?)</t>
  </si>
  <si>
    <t>Susan Lecare Reimbursement L204 Sale</t>
  </si>
  <si>
    <t xml:space="preserve">  IC Rec Center</t>
  </si>
  <si>
    <t>Return Fee O206</t>
  </si>
  <si>
    <t>Truist Withdrawl Quickbooks</t>
  </si>
  <si>
    <t>Resident Reimbursement</t>
  </si>
  <si>
    <t xml:space="preserve">  Resident Reimbursement</t>
  </si>
  <si>
    <t>January Operating</t>
  </si>
  <si>
    <t>Jan Operating</t>
  </si>
  <si>
    <t>Renovation Application</t>
  </si>
  <si>
    <t xml:space="preserve">Dept. of Business </t>
  </si>
  <si>
    <t xml:space="preserve">FP&amp;L </t>
  </si>
  <si>
    <t>Chuck Lasek - Water N Bldg.</t>
  </si>
  <si>
    <t>All Services South Elevator</t>
  </si>
  <si>
    <t>Donna Arzinger Reimbursement (dumpster overage)</t>
  </si>
  <si>
    <t>Donna Arzinger Reimbursement (dumpster)</t>
  </si>
  <si>
    <t>Petty Cash Mary Lesik</t>
  </si>
  <si>
    <t xml:space="preserve">Mary Lasek Reimbursement </t>
  </si>
  <si>
    <t>Conoco Engineering - O Bldg Repair</t>
  </si>
  <si>
    <t>Creative Design - Copies Annual Meeting</t>
  </si>
  <si>
    <t>Donna Arzinger Reimbursement (dumpsters)</t>
  </si>
  <si>
    <t>Zenith</t>
  </si>
  <si>
    <t>Florida Property</t>
  </si>
  <si>
    <t xml:space="preserve"> Pest Control</t>
  </si>
  <si>
    <t>Trash Removal</t>
  </si>
  <si>
    <t>Janitorial</t>
  </si>
  <si>
    <t xml:space="preserve">Creative Design </t>
  </si>
  <si>
    <t>Carlos Baracaldo Door Frame</t>
  </si>
  <si>
    <t xml:space="preserve"> Software</t>
  </si>
  <si>
    <t>Quick Books Truit Withdrawl</t>
  </si>
  <si>
    <t>Assoc. Fee</t>
  </si>
  <si>
    <t>Returned Check L302</t>
  </si>
  <si>
    <t>Transfers</t>
  </si>
  <si>
    <t>To SA Acct</t>
  </si>
  <si>
    <t>To Reserve</t>
  </si>
  <si>
    <t>Feb Operating</t>
  </si>
  <si>
    <t>Wayne Arzinger Reimbursement</t>
  </si>
  <si>
    <t>Donna Arzinger Reimbursement (Office Keys)</t>
  </si>
  <si>
    <t>Sterling Construction</t>
  </si>
  <si>
    <t>Riteway Cleaning - Storage Cleanout</t>
  </si>
  <si>
    <t>Roto Rooter</t>
  </si>
  <si>
    <t>JWJones  - Drain Removal</t>
  </si>
  <si>
    <t>Riteway Cleaning - Storage Cleanout Paint</t>
  </si>
  <si>
    <t>Riteway Cleaning - Storage Drywall Repair</t>
  </si>
  <si>
    <t>Returned Check K205</t>
  </si>
  <si>
    <t>Mar Operating</t>
  </si>
  <si>
    <t>Ariel Mulvey</t>
  </si>
  <si>
    <t>Cast Iron</t>
  </si>
  <si>
    <t>Riteway Cleaning - Storage Repair</t>
  </si>
  <si>
    <t>Steve Caram Door Frame</t>
  </si>
  <si>
    <t>Prisco Door Frame</t>
  </si>
  <si>
    <t>Sunny South</t>
  </si>
  <si>
    <t>AT&amp;T - Close Acc</t>
  </si>
  <si>
    <t>Absolute Asphalt</t>
  </si>
  <si>
    <t>Max Q</t>
  </si>
  <si>
    <t>JWJ Drain Repair</t>
  </si>
  <si>
    <t>RCI Painting</t>
  </si>
  <si>
    <t>Riteway Cleaning - Storage Demo</t>
  </si>
  <si>
    <t xml:space="preserve">Riteway Cleaning </t>
  </si>
  <si>
    <t>Mark Dede Rmb Storage Room Blinds</t>
  </si>
  <si>
    <t>John's Plumbing</t>
  </si>
  <si>
    <t>Marta Reimbursement Surveys</t>
  </si>
  <si>
    <t>Truist Auto Withdrawl</t>
  </si>
  <si>
    <t>Apr Operating</t>
  </si>
  <si>
    <t>Mainline Plumber</t>
  </si>
  <si>
    <t>All County Waste</t>
  </si>
  <si>
    <t>Riteway Cleaning - Storage Room</t>
  </si>
  <si>
    <t>Riteway Cleaning - Paint</t>
  </si>
  <si>
    <t>Barkly Ins Solutions</t>
  </si>
  <si>
    <t>Bldgs Inspection</t>
  </si>
  <si>
    <t xml:space="preserve">Mark Dede Rmb </t>
  </si>
  <si>
    <t>Chuck Lasik Repair Work</t>
  </si>
  <si>
    <t>First Ins Truist Withdrawl</t>
  </si>
  <si>
    <t>Details</t>
  </si>
  <si>
    <t xml:space="preserve">November </t>
  </si>
  <si>
    <t xml:space="preserve">December </t>
  </si>
  <si>
    <t>January</t>
  </si>
  <si>
    <t>February</t>
  </si>
  <si>
    <t>March</t>
  </si>
  <si>
    <t>April</t>
  </si>
  <si>
    <t xml:space="preserve">  Renovation Application</t>
  </si>
  <si>
    <t>Statement of Activity by Month Nov '23 to Apr '24</t>
  </si>
  <si>
    <t>SA Account Deposits</t>
  </si>
  <si>
    <t>Monthly Surplus / (Shortage)</t>
  </si>
  <si>
    <t>Total Nov thru April Surplus / (Shortage)</t>
  </si>
  <si>
    <t>Transfers To SA</t>
  </si>
  <si>
    <t>Net Operating Deposits</t>
  </si>
  <si>
    <t>(Monthly Average)</t>
  </si>
  <si>
    <t>Total HOA &amp; Other Deposits</t>
  </si>
  <si>
    <t>Office Mgr</t>
  </si>
  <si>
    <t>Net HOA &amp; Other Deposits</t>
  </si>
  <si>
    <t>Radek Gancarczyk Web Support</t>
  </si>
  <si>
    <t>Office Mgr.  (60 hours)</t>
  </si>
  <si>
    <t>Office Mgr.  (11/21-12/29)</t>
  </si>
  <si>
    <t>Office Mgr.</t>
  </si>
  <si>
    <t>Office Mgr. (60 hours)</t>
  </si>
  <si>
    <t>Office Mgr.  (70.5 hours)</t>
  </si>
  <si>
    <t>Office Mgr. -  Truist Withdrawl (Placeholder 12/14 ?)</t>
  </si>
  <si>
    <t>Radek Gancarczyk - Web Support</t>
  </si>
  <si>
    <t xml:space="preserve">  Payroll Expenses  - Office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</si>
</sst>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0\ _€"/>
    <numFmt numFmtId="165" formatCode="&quot;$&quot;* #,##0.00\ _€"/>
  </numFmts>
  <fonts count="17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u val="singleAccounting"/>
      <sz val="11"/>
      <color indexed="8"/>
      <name val="Calibri"/>
      <family val="2"/>
      <scheme val="minor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44" fontId="0" fillId="0" borderId="0" xfId="1" applyFont="1"/>
    <xf numFmtId="165" fontId="2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44" fontId="0" fillId="0" borderId="0" xfId="1" applyFont="1" applyBorder="1"/>
    <xf numFmtId="44" fontId="0" fillId="0" borderId="3" xfId="1" applyFont="1" applyBorder="1"/>
    <xf numFmtId="44" fontId="0" fillId="0" borderId="4" xfId="1" applyFont="1" applyBorder="1"/>
    <xf numFmtId="44" fontId="0" fillId="0" borderId="5" xfId="1" applyFont="1" applyBorder="1"/>
    <xf numFmtId="44" fontId="0" fillId="0" borderId="0" xfId="0" applyNumberFormat="1"/>
    <xf numFmtId="44" fontId="0" fillId="0" borderId="6" xfId="1" applyFont="1" applyBorder="1"/>
    <xf numFmtId="44" fontId="9" fillId="0" borderId="7" xfId="1" applyFont="1" applyBorder="1"/>
    <xf numFmtId="44" fontId="11" fillId="0" borderId="0" xfId="1" applyFont="1" applyAlignment="1">
      <alignment horizontal="center"/>
    </xf>
    <xf numFmtId="0" fontId="2" fillId="0" borderId="6" xfId="0" applyFont="1" applyBorder="1" applyAlignment="1">
      <alignment horizontal="left" wrapText="1"/>
    </xf>
    <xf numFmtId="44" fontId="8" fillId="0" borderId="7" xfId="1" applyFont="1" applyBorder="1"/>
    <xf numFmtId="0" fontId="10" fillId="0" borderId="0" xfId="0" applyFont="1" applyAlignment="1">
      <alignment horizontal="left" wrapText="1"/>
    </xf>
    <xf numFmtId="0" fontId="12" fillId="0" borderId="0" xfId="0" applyFont="1"/>
    <xf numFmtId="44" fontId="9" fillId="0" borderId="8" xfId="1" applyFont="1" applyBorder="1"/>
    <xf numFmtId="0" fontId="0" fillId="0" borderId="0" xfId="0" applyAlignment="1">
      <alignment horizontal="left" wrapText="1"/>
    </xf>
    <xf numFmtId="0" fontId="1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center" wrapText="1"/>
    </xf>
    <xf numFmtId="44" fontId="9" fillId="0" borderId="0" xfId="1" applyFont="1" applyAlignment="1">
      <alignment horizontal="center"/>
    </xf>
    <xf numFmtId="0" fontId="0" fillId="0" borderId="9" xfId="0" applyBorder="1"/>
    <xf numFmtId="44" fontId="11" fillId="0" borderId="0" xfId="1" applyFont="1" applyAlignment="1"/>
    <xf numFmtId="0" fontId="11" fillId="0" borderId="0" xfId="0" applyFont="1"/>
    <xf numFmtId="0" fontId="11" fillId="0" borderId="9" xfId="0" applyFont="1" applyBorder="1"/>
    <xf numFmtId="44" fontId="11" fillId="0" borderId="0" xfId="1" applyFont="1"/>
    <xf numFmtId="44" fontId="0" fillId="0" borderId="0" xfId="1" applyFont="1" applyAlignment="1">
      <alignment horizontal="center"/>
    </xf>
    <xf numFmtId="44" fontId="11" fillId="0" borderId="7" xfId="1" applyFont="1" applyBorder="1"/>
    <xf numFmtId="44" fontId="11" fillId="0" borderId="8" xfId="1" applyFont="1" applyBorder="1"/>
    <xf numFmtId="44" fontId="0" fillId="0" borderId="10" xfId="1" applyFont="1" applyBorder="1"/>
    <xf numFmtId="0" fontId="0" fillId="0" borderId="10" xfId="0" applyBorder="1"/>
    <xf numFmtId="0" fontId="0" fillId="0" borderId="11" xfId="0" applyBorder="1"/>
    <xf numFmtId="44" fontId="15" fillId="0" borderId="0" xfId="1" applyFont="1"/>
    <xf numFmtId="0" fontId="15" fillId="0" borderId="0" xfId="0" applyFont="1"/>
    <xf numFmtId="0" fontId="15" fillId="0" borderId="9" xfId="0" applyFont="1" applyBorder="1"/>
    <xf numFmtId="44" fontId="15" fillId="0" borderId="0" xfId="1" applyFont="1" applyAlignment="1">
      <alignment horizontal="center"/>
    </xf>
    <xf numFmtId="44" fontId="0" fillId="0" borderId="1" xfId="1" applyFont="1" applyBorder="1"/>
    <xf numFmtId="0" fontId="0" fillId="0" borderId="1" xfId="0" applyBorder="1"/>
    <xf numFmtId="0" fontId="0" fillId="0" borderId="12" xfId="0" applyBorder="1"/>
    <xf numFmtId="44" fontId="0" fillId="0" borderId="1" xfId="1" applyFont="1" applyBorder="1" applyAlignment="1">
      <alignment horizontal="center"/>
    </xf>
    <xf numFmtId="44" fontId="11" fillId="0" borderId="13" xfId="1" applyFont="1" applyBorder="1"/>
    <xf numFmtId="44" fontId="0" fillId="0" borderId="1" xfId="0" applyNumberFormat="1" applyBorder="1"/>
    <xf numFmtId="0" fontId="7" fillId="2" borderId="0" xfId="0" applyFont="1" applyFill="1" applyAlignment="1">
      <alignment horizontal="left" wrapText="1"/>
    </xf>
    <xf numFmtId="165" fontId="16" fillId="2" borderId="2" xfId="0" applyNumberFormat="1" applyFont="1" applyFill="1" applyBorder="1" applyAlignment="1">
      <alignment horizontal="right" wrapText="1"/>
    </xf>
    <xf numFmtId="0" fontId="8" fillId="2" borderId="0" xfId="0" applyFont="1" applyFill="1"/>
    <xf numFmtId="44" fontId="8" fillId="2" borderId="0" xfId="1" applyFont="1" applyFill="1"/>
    <xf numFmtId="0" fontId="8" fillId="2" borderId="9" xfId="0" applyFont="1" applyFill="1" applyBorder="1"/>
    <xf numFmtId="44" fontId="0" fillId="3" borderId="0" xfId="1" applyFont="1" applyFill="1"/>
    <xf numFmtId="0" fontId="0" fillId="3" borderId="0" xfId="0" applyFill="1"/>
    <xf numFmtId="0" fontId="0" fillId="3" borderId="9" xfId="0" applyFill="1" applyBorder="1"/>
    <xf numFmtId="44" fontId="0" fillId="3" borderId="3" xfId="1" applyFont="1" applyFill="1" applyBorder="1"/>
    <xf numFmtId="44" fontId="0" fillId="3" borderId="0" xfId="1" applyFont="1" applyFill="1" applyAlignment="1">
      <alignment horizontal="center"/>
    </xf>
    <xf numFmtId="44" fontId="0" fillId="3" borderId="0" xfId="1" applyFont="1" applyFill="1" applyBorder="1"/>
    <xf numFmtId="0" fontId="10" fillId="0" borderId="0" xfId="0" applyFont="1" applyAlignment="1">
      <alignment horizontal="center"/>
    </xf>
    <xf numFmtId="0" fontId="0" fillId="0" borderId="0" xfId="0"/>
    <xf numFmtId="44" fontId="11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67A8-0F98-4AD2-848C-3396D1C744D0}">
  <sheetPr>
    <pageSetUpPr fitToPage="1"/>
  </sheetPr>
  <dimension ref="A1:AI134"/>
  <sheetViews>
    <sheetView showGridLines="0" tabSelected="1" workbookViewId="0">
      <selection activeCell="A95" sqref="A95:XFD95"/>
    </sheetView>
  </sheetViews>
  <sheetFormatPr defaultRowHeight="14.4" x14ac:dyDescent="0.3"/>
  <cols>
    <col min="1" max="1" width="48.6640625" customWidth="1"/>
    <col min="2" max="4" width="11.109375" hidden="1" customWidth="1"/>
    <col min="5" max="5" width="12" hidden="1" customWidth="1"/>
    <col min="6" max="6" width="0" hidden="1" customWidth="1"/>
    <col min="8" max="8" width="11.109375" bestFit="1" customWidth="1"/>
    <col min="9" max="9" width="12.77734375" style="7" bestFit="1" customWidth="1"/>
    <col min="10" max="10" width="11.5546875" style="7" hidden="1" customWidth="1"/>
    <col min="11" max="11" width="0" hidden="1" customWidth="1"/>
    <col min="12" max="12" width="10.5546875" hidden="1" customWidth="1"/>
    <col min="13" max="16" width="0" hidden="1" customWidth="1"/>
    <col min="17" max="17" width="5.21875" customWidth="1"/>
    <col min="18" max="18" width="13.77734375" style="7" customWidth="1"/>
    <col min="19" max="19" width="12.5546875" style="7" hidden="1" customWidth="1"/>
    <col min="20" max="24" width="0" hidden="1" customWidth="1"/>
    <col min="25" max="25" width="5" customWidth="1"/>
    <col min="26" max="26" width="13.109375" style="7" bestFit="1" customWidth="1"/>
    <col min="27" max="27" width="4.77734375" customWidth="1"/>
    <col min="28" max="28" width="13.5546875" style="7" bestFit="1" customWidth="1"/>
    <col min="29" max="29" width="4.77734375" customWidth="1"/>
    <col min="30" max="30" width="13.5546875" style="7" bestFit="1" customWidth="1"/>
    <col min="31" max="31" width="5.44140625" customWidth="1"/>
    <col min="32" max="32" width="12.33203125" style="35" bestFit="1" customWidth="1"/>
    <col min="34" max="34" width="18.21875" customWidth="1"/>
    <col min="35" max="35" width="12.109375" bestFit="1" customWidth="1"/>
  </cols>
  <sheetData>
    <row r="1" spans="1:34" ht="22.8" x14ac:dyDescent="0.4">
      <c r="A1" s="6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4" ht="22.8" x14ac:dyDescent="0.4">
      <c r="A2" s="65" t="s">
        <v>174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</row>
    <row r="3" spans="1:34" x14ac:dyDescent="0.3">
      <c r="A3" s="62" t="s">
        <v>54</v>
      </c>
      <c r="B3" s="63"/>
      <c r="C3" s="63"/>
      <c r="D3" s="63"/>
      <c r="E3" s="63"/>
      <c r="P3" s="30"/>
    </row>
    <row r="4" spans="1:34" x14ac:dyDescent="0.3">
      <c r="P4" s="30"/>
    </row>
    <row r="5" spans="1:34" ht="15.6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  <c r="I5" s="64" t="s">
        <v>167</v>
      </c>
      <c r="J5" s="64"/>
      <c r="K5" s="32"/>
      <c r="L5" s="32"/>
      <c r="M5" s="32"/>
      <c r="N5" s="32"/>
      <c r="O5" s="32"/>
      <c r="P5" s="33"/>
      <c r="Q5" s="32"/>
      <c r="R5" s="17" t="s">
        <v>168</v>
      </c>
      <c r="S5" s="31"/>
      <c r="T5" s="32"/>
      <c r="U5" s="32"/>
      <c r="V5" s="32"/>
      <c r="W5" s="32"/>
      <c r="X5" s="32"/>
      <c r="Y5" s="32"/>
      <c r="Z5" s="17" t="s">
        <v>169</v>
      </c>
      <c r="AA5" s="32"/>
      <c r="AB5" s="34" t="s">
        <v>170</v>
      </c>
      <c r="AC5" s="32" t="s">
        <v>54</v>
      </c>
      <c r="AD5" s="17" t="s">
        <v>171</v>
      </c>
      <c r="AE5" s="32"/>
      <c r="AF5" s="17" t="s">
        <v>172</v>
      </c>
      <c r="AH5" s="17" t="s">
        <v>3</v>
      </c>
    </row>
    <row r="6" spans="1:34" x14ac:dyDescent="0.3">
      <c r="B6" s="4"/>
      <c r="C6" s="4"/>
      <c r="D6" s="4"/>
      <c r="E6" s="4"/>
      <c r="P6" s="30"/>
    </row>
    <row r="7" spans="1:34" hidden="1" x14ac:dyDescent="0.3">
      <c r="A7" s="20" t="s">
        <v>5</v>
      </c>
      <c r="B7" s="5">
        <f>250</f>
        <v>250</v>
      </c>
      <c r="C7" s="4"/>
      <c r="D7" s="4"/>
      <c r="E7" s="5">
        <f t="shared" ref="E7:E24" si="0">((B7)+(C7))+(D7)</f>
        <v>250</v>
      </c>
      <c r="P7" s="30"/>
    </row>
    <row r="8" spans="1:34" hidden="1" x14ac:dyDescent="0.3">
      <c r="A8" s="20" t="s">
        <v>6</v>
      </c>
      <c r="B8" s="5">
        <f>150</f>
        <v>150</v>
      </c>
      <c r="C8" s="5">
        <f>50</f>
        <v>50</v>
      </c>
      <c r="D8" s="5">
        <f>270</f>
        <v>270</v>
      </c>
      <c r="E8" s="5">
        <f t="shared" si="0"/>
        <v>470</v>
      </c>
      <c r="P8" s="30"/>
    </row>
    <row r="9" spans="1:34" hidden="1" x14ac:dyDescent="0.3">
      <c r="A9" s="20" t="s">
        <v>7</v>
      </c>
      <c r="B9" s="5">
        <f>73579.86</f>
        <v>73579.86</v>
      </c>
      <c r="C9" s="5">
        <f>79094</f>
        <v>79094</v>
      </c>
      <c r="D9" s="5">
        <f>80307.8</f>
        <v>80307.8</v>
      </c>
      <c r="E9" s="5">
        <f t="shared" si="0"/>
        <v>232981.65999999997</v>
      </c>
      <c r="P9" s="30"/>
    </row>
    <row r="10" spans="1:34" hidden="1" x14ac:dyDescent="0.3">
      <c r="A10" s="20" t="s">
        <v>8</v>
      </c>
      <c r="B10" s="5">
        <f>16163.94</f>
        <v>16163.94</v>
      </c>
      <c r="C10" s="5">
        <f>5019.2</f>
        <v>5019.2</v>
      </c>
      <c r="D10" s="5">
        <f>3567.8</f>
        <v>3567.8</v>
      </c>
      <c r="E10" s="5">
        <f t="shared" si="0"/>
        <v>24750.94</v>
      </c>
      <c r="P10" s="30"/>
    </row>
    <row r="11" spans="1:34" hidden="1" x14ac:dyDescent="0.3">
      <c r="A11" s="20" t="s">
        <v>9</v>
      </c>
      <c r="B11" s="4"/>
      <c r="C11" s="4"/>
      <c r="D11" s="5">
        <f>185.41</f>
        <v>185.41</v>
      </c>
      <c r="E11" s="5">
        <f t="shared" si="0"/>
        <v>185.41</v>
      </c>
      <c r="P11" s="30"/>
    </row>
    <row r="12" spans="1:34" hidden="1" x14ac:dyDescent="0.3">
      <c r="A12" s="20" t="s">
        <v>10</v>
      </c>
      <c r="B12" s="5">
        <f>360</f>
        <v>360</v>
      </c>
      <c r="C12" s="4"/>
      <c r="D12" s="5">
        <f>360</f>
        <v>360</v>
      </c>
      <c r="E12" s="5">
        <f t="shared" si="0"/>
        <v>720</v>
      </c>
      <c r="P12" s="30"/>
    </row>
    <row r="13" spans="1:34" hidden="1" x14ac:dyDescent="0.3">
      <c r="A13" s="20" t="s">
        <v>11</v>
      </c>
      <c r="B13" s="4"/>
      <c r="C13" s="5">
        <f>250</f>
        <v>250</v>
      </c>
      <c r="D13" s="4"/>
      <c r="E13" s="5">
        <f t="shared" si="0"/>
        <v>250</v>
      </c>
      <c r="P13" s="30"/>
    </row>
    <row r="14" spans="1:34" hidden="1" x14ac:dyDescent="0.3">
      <c r="A14" s="20" t="s">
        <v>12</v>
      </c>
      <c r="B14" s="4"/>
      <c r="C14" s="4"/>
      <c r="D14" s="5">
        <f>1457638.78</f>
        <v>1457638.78</v>
      </c>
      <c r="E14" s="5">
        <f t="shared" si="0"/>
        <v>1457638.78</v>
      </c>
      <c r="P14" s="30"/>
    </row>
    <row r="15" spans="1:34" hidden="1" x14ac:dyDescent="0.3">
      <c r="A15" s="20" t="s">
        <v>13</v>
      </c>
      <c r="B15" s="5">
        <f>21368.6</f>
        <v>21368.6</v>
      </c>
      <c r="C15" s="5">
        <f>578825.05</f>
        <v>578825.05000000005</v>
      </c>
      <c r="D15" s="5">
        <f>-619806.94</f>
        <v>-619806.93999999994</v>
      </c>
      <c r="E15" s="5">
        <f t="shared" si="0"/>
        <v>-19613.289999999921</v>
      </c>
      <c r="P15" s="30"/>
    </row>
    <row r="16" spans="1:34" ht="17.399999999999999" x14ac:dyDescent="0.45">
      <c r="A16" s="9" t="s">
        <v>181</v>
      </c>
      <c r="B16" s="5"/>
      <c r="C16" s="5"/>
      <c r="D16" s="5"/>
      <c r="E16" s="5"/>
      <c r="I16" s="41">
        <v>143562.6</v>
      </c>
      <c r="J16" s="41"/>
      <c r="K16" s="42"/>
      <c r="L16" s="42"/>
      <c r="M16" s="42"/>
      <c r="N16" s="42"/>
      <c r="O16" s="42"/>
      <c r="P16" s="43"/>
      <c r="Q16" s="42"/>
      <c r="R16" s="41">
        <v>190804.9</v>
      </c>
      <c r="S16" s="41"/>
      <c r="T16" s="42"/>
      <c r="U16" s="42"/>
      <c r="V16" s="42"/>
      <c r="W16" s="42"/>
      <c r="X16" s="42"/>
      <c r="Y16" s="42"/>
      <c r="Z16" s="41">
        <v>112936.75</v>
      </c>
      <c r="AA16" s="42"/>
      <c r="AB16" s="41">
        <v>126748.33</v>
      </c>
      <c r="AC16" s="42"/>
      <c r="AD16" s="41">
        <v>180262.67</v>
      </c>
      <c r="AE16" s="42"/>
      <c r="AF16" s="44">
        <v>164381.29</v>
      </c>
      <c r="AH16" s="14">
        <f>SUM(I16:AF16)</f>
        <v>918696.54</v>
      </c>
    </row>
    <row r="17" spans="1:35" x14ac:dyDescent="0.3">
      <c r="A17" s="20" t="s">
        <v>178</v>
      </c>
      <c r="B17" s="5"/>
      <c r="C17" s="5"/>
      <c r="D17" s="5"/>
      <c r="E17" s="5"/>
      <c r="I17" s="45"/>
      <c r="J17" s="45"/>
      <c r="K17" s="46"/>
      <c r="L17" s="46"/>
      <c r="M17" s="46"/>
      <c r="N17" s="46"/>
      <c r="O17" s="46"/>
      <c r="P17" s="47"/>
      <c r="Q17" s="46"/>
      <c r="R17" s="45"/>
      <c r="S17" s="45"/>
      <c r="T17" s="46"/>
      <c r="U17" s="46"/>
      <c r="V17" s="46"/>
      <c r="W17" s="46"/>
      <c r="X17" s="46"/>
      <c r="Y17" s="46"/>
      <c r="Z17" s="45">
        <f>-83971.49-20000</f>
        <v>-103971.49</v>
      </c>
      <c r="AA17" s="46"/>
      <c r="AB17" s="45">
        <v>-10000</v>
      </c>
      <c r="AC17" s="46"/>
      <c r="AD17" s="45">
        <v>-78000</v>
      </c>
      <c r="AE17" s="46"/>
      <c r="AF17" s="48">
        <v>-30000</v>
      </c>
      <c r="AG17" s="46"/>
      <c r="AH17" s="50">
        <f>SUM(Z17:AF17)</f>
        <v>-221971.49</v>
      </c>
    </row>
    <row r="18" spans="1:35" x14ac:dyDescent="0.3">
      <c r="A18" s="20" t="s">
        <v>179</v>
      </c>
      <c r="B18" s="5"/>
      <c r="C18" s="5"/>
      <c r="D18" s="5"/>
      <c r="E18" s="5"/>
      <c r="I18" s="7">
        <f>+I16+I17</f>
        <v>143562.6</v>
      </c>
      <c r="P18" s="30"/>
      <c r="R18" s="7">
        <f>+R16+R17</f>
        <v>190804.9</v>
      </c>
      <c r="Z18" s="7">
        <f>+Z16+Z17</f>
        <v>8965.2599999999948</v>
      </c>
      <c r="AB18" s="7">
        <f>+AB16+AB17</f>
        <v>116748.33</v>
      </c>
      <c r="AD18" s="7">
        <f>+AD16+AD17</f>
        <v>102262.67000000001</v>
      </c>
      <c r="AF18" s="7">
        <f>+AF16+AF17</f>
        <v>134381.29</v>
      </c>
      <c r="AH18" s="14">
        <f>SUM(I18:AF18)</f>
        <v>696725.05</v>
      </c>
      <c r="AI18" s="14">
        <f>+AH16+AH17</f>
        <v>696725.05</v>
      </c>
    </row>
    <row r="19" spans="1:35" hidden="1" x14ac:dyDescent="0.3">
      <c r="A19" s="20"/>
      <c r="B19" s="5"/>
      <c r="C19" s="5"/>
      <c r="D19" s="5"/>
      <c r="E19" s="5"/>
      <c r="P19" s="30"/>
    </row>
    <row r="20" spans="1:35" hidden="1" x14ac:dyDescent="0.3">
      <c r="A20" s="20"/>
      <c r="B20" s="5"/>
      <c r="C20" s="5"/>
      <c r="D20" s="5"/>
      <c r="E20" s="5"/>
      <c r="P20" s="30"/>
    </row>
    <row r="21" spans="1:35" hidden="1" x14ac:dyDescent="0.3">
      <c r="A21" s="20" t="s">
        <v>175</v>
      </c>
      <c r="B21" s="5"/>
      <c r="C21" s="5"/>
      <c r="D21" s="5"/>
      <c r="E21" s="5"/>
      <c r="H21" s="7">
        <v>35517</v>
      </c>
      <c r="I21" s="7">
        <v>523919.25</v>
      </c>
      <c r="P21" s="30"/>
      <c r="R21" s="7">
        <v>745871.54</v>
      </c>
      <c r="Z21" s="7">
        <v>174914.47</v>
      </c>
      <c r="AB21" s="7">
        <v>155914.38</v>
      </c>
      <c r="AD21" s="7">
        <v>462942.98</v>
      </c>
      <c r="AF21" s="35">
        <v>262115.91</v>
      </c>
      <c r="AH21" s="14">
        <f>SUM(H21:AF21)</f>
        <v>2361195.5300000003</v>
      </c>
    </row>
    <row r="22" spans="1:35" hidden="1" x14ac:dyDescent="0.3">
      <c r="A22" s="20"/>
      <c r="B22" s="5"/>
      <c r="C22" s="5"/>
      <c r="D22" s="5"/>
      <c r="E22" s="5"/>
      <c r="P22" s="30"/>
    </row>
    <row r="23" spans="1:35" ht="9.6" customHeight="1" x14ac:dyDescent="0.3">
      <c r="A23" s="20"/>
      <c r="B23" s="5"/>
      <c r="C23" s="5"/>
      <c r="D23" s="5"/>
      <c r="E23" s="5"/>
      <c r="P23" s="30"/>
    </row>
    <row r="24" spans="1:35" ht="15.6" x14ac:dyDescent="0.3">
      <c r="A24" s="51" t="s">
        <v>183</v>
      </c>
      <c r="B24" s="52">
        <f>((((((((B7)+(B8))+(B9))+(B10))+(B11))+(B12))+(B13))+(B14))+(B15)</f>
        <v>111872.4</v>
      </c>
      <c r="C24" s="52">
        <f>((((((((C7)+(C8))+(C9))+(C10))+(C11))+(C12))+(C13))+(C14))+(C15)</f>
        <v>663238.25</v>
      </c>
      <c r="D24" s="52">
        <f>((((((((D7)+(D8))+(D9))+(D10))+(D11))+(D12))+(D13))+(D14))+(D15)</f>
        <v>922522.85000000009</v>
      </c>
      <c r="E24" s="52">
        <f t="shared" si="0"/>
        <v>1697633.5</v>
      </c>
      <c r="F24" s="53"/>
      <c r="G24" s="53"/>
      <c r="H24" s="53"/>
      <c r="I24" s="54">
        <f>+I18</f>
        <v>143562.6</v>
      </c>
      <c r="J24" s="54"/>
      <c r="K24" s="53"/>
      <c r="L24" s="53"/>
      <c r="M24" s="53"/>
      <c r="N24" s="53"/>
      <c r="O24" s="53"/>
      <c r="P24" s="55"/>
      <c r="Q24" s="53"/>
      <c r="R24" s="54">
        <f>+R18</f>
        <v>190804.9</v>
      </c>
      <c r="S24" s="54"/>
      <c r="T24" s="53"/>
      <c r="U24" s="53"/>
      <c r="V24" s="53"/>
      <c r="W24" s="53"/>
      <c r="X24" s="53"/>
      <c r="Y24" s="53"/>
      <c r="Z24" s="54">
        <f>+Z18</f>
        <v>8965.2599999999948</v>
      </c>
      <c r="AA24" s="53"/>
      <c r="AB24" s="54">
        <f>+AB18</f>
        <v>116748.33</v>
      </c>
      <c r="AC24" s="53"/>
      <c r="AD24" s="54">
        <f>+AD18</f>
        <v>102262.67000000001</v>
      </c>
      <c r="AE24" s="53"/>
      <c r="AF24" s="54">
        <f>+AF18</f>
        <v>134381.29</v>
      </c>
      <c r="AH24" s="14">
        <f>SUM(I24:AF24)/6</f>
        <v>116120.84166666667</v>
      </c>
    </row>
    <row r="25" spans="1:35" x14ac:dyDescent="0.3">
      <c r="A25" s="3"/>
      <c r="B25" s="8"/>
      <c r="C25" s="8"/>
      <c r="D25" s="8"/>
      <c r="E25" s="8"/>
      <c r="P25" s="30"/>
      <c r="AH25" t="s">
        <v>180</v>
      </c>
    </row>
    <row r="26" spans="1:35" ht="15.6" x14ac:dyDescent="0.3">
      <c r="A26" s="9" t="s">
        <v>15</v>
      </c>
      <c r="B26" s="4"/>
      <c r="C26" s="4"/>
      <c r="D26" s="4"/>
      <c r="E26" s="4"/>
      <c r="P26" s="30"/>
    </row>
    <row r="27" spans="1:35" x14ac:dyDescent="0.3">
      <c r="A27" s="20" t="s">
        <v>16</v>
      </c>
      <c r="B27" s="5">
        <f>91.5</f>
        <v>91.5</v>
      </c>
      <c r="C27" s="4"/>
      <c r="D27" s="5">
        <f>45.75</f>
        <v>45.75</v>
      </c>
      <c r="E27" s="5">
        <f t="shared" ref="E27:E95" si="1">((B27)+(C27))+(D27)</f>
        <v>137.25</v>
      </c>
      <c r="P27" s="30"/>
      <c r="R27" s="7">
        <v>45.75</v>
      </c>
      <c r="T27" t="s">
        <v>81</v>
      </c>
    </row>
    <row r="28" spans="1:35" x14ac:dyDescent="0.3">
      <c r="A28" s="20" t="s">
        <v>17</v>
      </c>
      <c r="B28" s="5">
        <f>330</f>
        <v>330</v>
      </c>
      <c r="C28" s="4"/>
      <c r="D28" s="4"/>
      <c r="E28" s="5">
        <f t="shared" si="1"/>
        <v>330</v>
      </c>
      <c r="P28" s="30"/>
      <c r="Z28" s="7">
        <v>332.75</v>
      </c>
    </row>
    <row r="29" spans="1:35" x14ac:dyDescent="0.3">
      <c r="A29" s="20" t="s">
        <v>18</v>
      </c>
      <c r="B29" s="4"/>
      <c r="C29" s="5">
        <f>38612.78</f>
        <v>38612.78</v>
      </c>
      <c r="D29" s="5">
        <f>77225.56</f>
        <v>77225.56</v>
      </c>
      <c r="E29" s="5">
        <f t="shared" si="1"/>
        <v>115838.34</v>
      </c>
      <c r="I29" s="7">
        <v>38612.78</v>
      </c>
      <c r="K29" t="s">
        <v>30</v>
      </c>
      <c r="P29" s="30"/>
      <c r="R29" s="7">
        <f>+S29+S30</f>
        <v>77225.56</v>
      </c>
      <c r="S29" s="11">
        <v>38612.78</v>
      </c>
      <c r="T29" t="s">
        <v>30</v>
      </c>
      <c r="Z29" s="7">
        <v>553</v>
      </c>
      <c r="AB29" s="7">
        <v>77225.56</v>
      </c>
      <c r="AF29" s="35">
        <v>40696.980000000003</v>
      </c>
    </row>
    <row r="30" spans="1:35" hidden="1" x14ac:dyDescent="0.3">
      <c r="A30" s="20"/>
      <c r="B30" s="4"/>
      <c r="C30" s="5"/>
      <c r="D30" s="5"/>
      <c r="E30" s="5"/>
      <c r="P30" s="30"/>
      <c r="S30" s="13">
        <v>38612.78</v>
      </c>
      <c r="T30" t="s">
        <v>30</v>
      </c>
    </row>
    <row r="31" spans="1:35" hidden="1" x14ac:dyDescent="0.3">
      <c r="A31" s="20"/>
      <c r="B31" s="4"/>
      <c r="C31" s="5"/>
      <c r="D31" s="5"/>
      <c r="E31" s="5"/>
      <c r="P31" s="30"/>
    </row>
    <row r="32" spans="1:35" hidden="1" x14ac:dyDescent="0.3">
      <c r="A32" s="20"/>
      <c r="B32" s="4"/>
      <c r="C32" s="5"/>
      <c r="D32" s="5"/>
      <c r="E32" s="5"/>
      <c r="P32" s="30"/>
    </row>
    <row r="33" spans="1:32" x14ac:dyDescent="0.3">
      <c r="A33" s="20" t="s">
        <v>19</v>
      </c>
      <c r="B33" s="5">
        <f>4375</f>
        <v>4375</v>
      </c>
      <c r="C33" s="5">
        <f>3420</f>
        <v>3420</v>
      </c>
      <c r="D33" s="5">
        <f>17695</f>
        <v>17695</v>
      </c>
      <c r="E33" s="5">
        <f t="shared" si="1"/>
        <v>25490</v>
      </c>
      <c r="I33" s="56">
        <v>3420</v>
      </c>
      <c r="J33" s="56" t="s">
        <v>54</v>
      </c>
      <c r="K33" s="57" t="s">
        <v>44</v>
      </c>
      <c r="L33" s="57"/>
      <c r="M33" s="57"/>
      <c r="N33" s="57"/>
      <c r="O33" s="57"/>
      <c r="P33" s="58"/>
      <c r="Q33" s="57"/>
      <c r="R33" s="56">
        <f>SUM(S34:S35)</f>
        <v>6570</v>
      </c>
      <c r="S33" s="56"/>
      <c r="T33" s="57" t="s">
        <v>44</v>
      </c>
      <c r="U33" s="57"/>
      <c r="V33" s="57"/>
      <c r="W33" s="57"/>
      <c r="X33" s="57"/>
      <c r="Y33" s="57"/>
      <c r="Z33" s="56">
        <v>10815</v>
      </c>
      <c r="AA33" s="57"/>
      <c r="AB33" s="56">
        <v>12675</v>
      </c>
      <c r="AC33" s="57"/>
      <c r="AD33" s="56">
        <v>4275</v>
      </c>
      <c r="AE33" s="57"/>
      <c r="AF33" s="60">
        <v>2950</v>
      </c>
    </row>
    <row r="34" spans="1:32" hidden="1" x14ac:dyDescent="0.3">
      <c r="A34" s="20"/>
      <c r="B34" s="5"/>
      <c r="C34" s="5"/>
      <c r="D34" s="5"/>
      <c r="E34" s="5"/>
      <c r="P34" s="30"/>
      <c r="S34" s="11">
        <v>1320</v>
      </c>
      <c r="T34" t="s">
        <v>44</v>
      </c>
    </row>
    <row r="35" spans="1:32" x14ac:dyDescent="0.3">
      <c r="A35" s="20" t="s">
        <v>20</v>
      </c>
      <c r="B35" s="4"/>
      <c r="C35" s="5">
        <f>50</f>
        <v>50</v>
      </c>
      <c r="D35" s="4"/>
      <c r="E35" s="5">
        <f t="shared" si="1"/>
        <v>50</v>
      </c>
      <c r="I35" s="10">
        <f>+J35+J36</f>
        <v>300.38</v>
      </c>
      <c r="J35" s="11">
        <v>50</v>
      </c>
      <c r="L35" t="s">
        <v>45</v>
      </c>
      <c r="P35" s="30"/>
      <c r="S35" s="13">
        <v>5250</v>
      </c>
      <c r="T35" t="s">
        <v>44</v>
      </c>
      <c r="Z35" s="7">
        <v>500</v>
      </c>
    </row>
    <row r="36" spans="1:32" hidden="1" x14ac:dyDescent="0.3">
      <c r="A36" s="20"/>
      <c r="B36" s="4"/>
      <c r="C36" s="5"/>
      <c r="D36" s="4"/>
      <c r="E36" s="5"/>
      <c r="J36" s="13">
        <v>250.38</v>
      </c>
      <c r="L36" t="s">
        <v>46</v>
      </c>
      <c r="P36" s="30"/>
    </row>
    <row r="37" spans="1:32" hidden="1" x14ac:dyDescent="0.3">
      <c r="A37" s="20"/>
      <c r="B37" s="4"/>
      <c r="C37" s="5"/>
      <c r="D37" s="4"/>
      <c r="E37" s="5"/>
      <c r="P37" s="30"/>
    </row>
    <row r="38" spans="1:32" x14ac:dyDescent="0.3">
      <c r="A38" s="20" t="s">
        <v>21</v>
      </c>
      <c r="B38" s="5">
        <f>507.93</f>
        <v>507.93</v>
      </c>
      <c r="C38" s="5">
        <f>447.57</f>
        <v>447.57</v>
      </c>
      <c r="D38" s="5">
        <f>3477.76</f>
        <v>3477.76</v>
      </c>
      <c r="E38" s="5">
        <f t="shared" si="1"/>
        <v>4433.26</v>
      </c>
      <c r="I38" s="10">
        <f>SUM(J38:J40)</f>
        <v>1038.58</v>
      </c>
      <c r="J38" s="11">
        <v>457.41</v>
      </c>
      <c r="L38" t="s">
        <v>48</v>
      </c>
      <c r="P38" s="30"/>
      <c r="R38" s="7">
        <f>+S39+S38</f>
        <v>465.66</v>
      </c>
      <c r="S38" s="11">
        <v>143.80000000000001</v>
      </c>
      <c r="T38" t="s">
        <v>91</v>
      </c>
      <c r="Z38" s="7">
        <v>1661.86</v>
      </c>
      <c r="AB38" s="7">
        <v>242.77</v>
      </c>
      <c r="AD38" s="7">
        <v>61.25</v>
      </c>
    </row>
    <row r="39" spans="1:32" hidden="1" x14ac:dyDescent="0.3">
      <c r="A39" s="20"/>
      <c r="B39" s="5"/>
      <c r="C39" s="5"/>
      <c r="D39" s="5"/>
      <c r="E39" s="5"/>
      <c r="J39" s="12">
        <v>482.12</v>
      </c>
      <c r="L39" t="s">
        <v>48</v>
      </c>
      <c r="P39" s="30"/>
      <c r="S39" s="13">
        <v>321.86</v>
      </c>
      <c r="T39" t="s">
        <v>56</v>
      </c>
    </row>
    <row r="40" spans="1:32" hidden="1" x14ac:dyDescent="0.3">
      <c r="A40" s="20"/>
      <c r="B40" s="5"/>
      <c r="C40" s="5"/>
      <c r="D40" s="5"/>
      <c r="E40" s="5"/>
      <c r="J40" s="13">
        <v>99.05</v>
      </c>
      <c r="L40" t="s">
        <v>56</v>
      </c>
      <c r="P40" s="30"/>
    </row>
    <row r="41" spans="1:32" hidden="1" x14ac:dyDescent="0.3">
      <c r="A41" s="20"/>
      <c r="B41" s="5"/>
      <c r="C41" s="5"/>
      <c r="D41" s="5"/>
      <c r="E41" s="5"/>
      <c r="P41" s="30"/>
    </row>
    <row r="42" spans="1:32" x14ac:dyDescent="0.3">
      <c r="A42" s="20" t="s">
        <v>192</v>
      </c>
      <c r="B42" s="5">
        <f>1080</f>
        <v>1080</v>
      </c>
      <c r="C42" s="5">
        <f>2280</f>
        <v>2280</v>
      </c>
      <c r="D42" s="5">
        <f>4070</f>
        <v>4070</v>
      </c>
      <c r="E42" s="5">
        <f t="shared" si="1"/>
        <v>7430</v>
      </c>
      <c r="I42" s="56">
        <f>+J42</f>
        <v>1200</v>
      </c>
      <c r="J42" s="56">
        <v>1200</v>
      </c>
      <c r="K42" s="57"/>
      <c r="L42" s="57" t="s">
        <v>51</v>
      </c>
      <c r="M42" s="57"/>
      <c r="N42" s="57"/>
      <c r="O42" s="57"/>
      <c r="P42" s="58"/>
      <c r="Q42" s="57"/>
      <c r="R42" s="56">
        <v>1410</v>
      </c>
      <c r="S42" s="56"/>
      <c r="T42" s="57" t="s">
        <v>88</v>
      </c>
      <c r="U42" s="57"/>
      <c r="V42" s="57"/>
      <c r="W42" s="57"/>
      <c r="X42" s="57"/>
      <c r="Y42" s="57"/>
      <c r="Z42" s="56">
        <v>3946</v>
      </c>
      <c r="AA42" s="57"/>
      <c r="AB42" s="56">
        <v>1085.1300000000001</v>
      </c>
      <c r="AC42" s="57"/>
      <c r="AD42" s="56">
        <v>2398.59</v>
      </c>
      <c r="AE42" s="57"/>
      <c r="AF42" s="60">
        <v>875.01</v>
      </c>
    </row>
    <row r="43" spans="1:32" hidden="1" x14ac:dyDescent="0.3">
      <c r="A43" s="20"/>
      <c r="B43" s="5"/>
      <c r="C43" s="5"/>
      <c r="D43" s="5"/>
      <c r="E43" s="5"/>
      <c r="P43" s="30"/>
    </row>
    <row r="44" spans="1:32" x14ac:dyDescent="0.3">
      <c r="A44" s="20" t="s">
        <v>64</v>
      </c>
      <c r="B44" s="4"/>
      <c r="C44" s="4"/>
      <c r="D44" s="5">
        <f>98.54</f>
        <v>98.54</v>
      </c>
      <c r="E44" s="5">
        <f t="shared" si="1"/>
        <v>98.54</v>
      </c>
      <c r="P44" s="30"/>
      <c r="R44" s="7">
        <f>+S44+S45</f>
        <v>98.539999999999992</v>
      </c>
      <c r="S44" s="11">
        <v>55</v>
      </c>
      <c r="T44" t="s">
        <v>97</v>
      </c>
      <c r="Z44" s="7">
        <v>100</v>
      </c>
      <c r="AB44" s="7">
        <v>100</v>
      </c>
      <c r="AD44" s="7">
        <v>248.49</v>
      </c>
      <c r="AF44" s="35">
        <v>250</v>
      </c>
    </row>
    <row r="45" spans="1:32" hidden="1" x14ac:dyDescent="0.3">
      <c r="A45" s="20"/>
      <c r="B45" s="4"/>
      <c r="C45" s="4"/>
      <c r="D45" s="5"/>
      <c r="E45" s="5"/>
      <c r="P45" s="30"/>
      <c r="S45" s="13">
        <v>43.54</v>
      </c>
      <c r="T45" t="s">
        <v>97</v>
      </c>
    </row>
    <row r="46" spans="1:32" hidden="1" x14ac:dyDescent="0.3">
      <c r="A46" s="20"/>
      <c r="B46" s="4"/>
      <c r="C46" s="4"/>
      <c r="D46" s="5"/>
      <c r="E46" s="5"/>
      <c r="P46" s="30"/>
    </row>
    <row r="47" spans="1:32" x14ac:dyDescent="0.3">
      <c r="A47" s="20" t="s">
        <v>65</v>
      </c>
      <c r="B47" s="6" t="e">
        <f>(#REF!)+(B44)</f>
        <v>#REF!</v>
      </c>
      <c r="C47" s="6" t="e">
        <f>(#REF!)+(C44)</f>
        <v>#REF!</v>
      </c>
      <c r="D47" s="6" t="e">
        <f>(#REF!)+(D44)</f>
        <v>#REF!</v>
      </c>
      <c r="E47" s="6" t="e">
        <f t="shared" si="1"/>
        <v>#REF!</v>
      </c>
      <c r="I47" s="56">
        <v>780</v>
      </c>
      <c r="J47" s="56" t="s">
        <v>54</v>
      </c>
      <c r="K47" s="57"/>
      <c r="L47" s="57" t="s">
        <v>62</v>
      </c>
      <c r="M47" s="57"/>
      <c r="N47" s="57"/>
      <c r="O47" s="57"/>
      <c r="P47" s="58"/>
      <c r="Q47" s="57"/>
      <c r="R47" s="56">
        <f>SUM(S47:S49)</f>
        <v>2620</v>
      </c>
      <c r="S47" s="59">
        <v>1287.5</v>
      </c>
      <c r="T47" s="57" t="s">
        <v>62</v>
      </c>
      <c r="U47" s="57"/>
      <c r="V47" s="57"/>
      <c r="W47" s="57"/>
      <c r="X47" s="57"/>
      <c r="Y47" s="57"/>
      <c r="Z47" s="56">
        <v>2762.5</v>
      </c>
      <c r="AA47" s="57"/>
      <c r="AB47" s="56">
        <v>1511.25</v>
      </c>
      <c r="AC47" s="57"/>
      <c r="AD47" s="56"/>
      <c r="AE47" s="57"/>
      <c r="AF47" s="60">
        <v>6972</v>
      </c>
    </row>
    <row r="48" spans="1:32" hidden="1" x14ac:dyDescent="0.3">
      <c r="A48" s="20"/>
      <c r="B48" s="8"/>
      <c r="C48" s="8"/>
      <c r="D48" s="8"/>
      <c r="E48" s="8"/>
      <c r="P48" s="30"/>
      <c r="S48" s="12">
        <v>747.5</v>
      </c>
      <c r="T48" t="s">
        <v>62</v>
      </c>
    </row>
    <row r="49" spans="1:32" hidden="1" x14ac:dyDescent="0.3">
      <c r="A49" s="20"/>
      <c r="B49" s="8"/>
      <c r="C49" s="8"/>
      <c r="D49" s="8"/>
      <c r="E49" s="8"/>
      <c r="P49" s="30"/>
      <c r="S49" s="13">
        <v>585</v>
      </c>
      <c r="T49" t="s">
        <v>62</v>
      </c>
    </row>
    <row r="50" spans="1:32" x14ac:dyDescent="0.3">
      <c r="A50" s="20" t="s">
        <v>66</v>
      </c>
      <c r="B50" s="5">
        <f>1190</f>
        <v>1190</v>
      </c>
      <c r="C50" s="5">
        <f>302.5</f>
        <v>302.5</v>
      </c>
      <c r="D50" s="5">
        <f>2435</f>
        <v>2435</v>
      </c>
      <c r="E50" s="5">
        <f t="shared" si="1"/>
        <v>3927.5</v>
      </c>
      <c r="I50" s="7">
        <v>302.5</v>
      </c>
      <c r="J50" s="7" t="s">
        <v>54</v>
      </c>
      <c r="L50" t="s">
        <v>42</v>
      </c>
      <c r="P50" s="30"/>
      <c r="Z50" s="7">
        <v>2435</v>
      </c>
      <c r="AB50" s="7">
        <v>330</v>
      </c>
      <c r="AD50" s="7">
        <v>1552.5</v>
      </c>
      <c r="AF50" s="35">
        <v>110</v>
      </c>
    </row>
    <row r="51" spans="1:32" x14ac:dyDescent="0.3">
      <c r="A51" s="3"/>
      <c r="B51" s="5"/>
      <c r="C51" s="5"/>
      <c r="D51" s="5"/>
      <c r="E51" s="5"/>
      <c r="P51" s="30"/>
    </row>
    <row r="52" spans="1:32" ht="15.6" x14ac:dyDescent="0.3">
      <c r="A52" s="9" t="s">
        <v>77</v>
      </c>
      <c r="B52" s="4"/>
      <c r="C52" s="4"/>
      <c r="D52" s="4"/>
      <c r="E52" s="5">
        <f t="shared" si="1"/>
        <v>0</v>
      </c>
      <c r="P52" s="30"/>
    </row>
    <row r="53" spans="1:32" x14ac:dyDescent="0.3">
      <c r="A53" s="20" t="s">
        <v>75</v>
      </c>
      <c r="B53" s="4"/>
      <c r="C53" s="5">
        <f>3500</f>
        <v>3500</v>
      </c>
      <c r="D53" s="5">
        <f>3500</f>
        <v>3500</v>
      </c>
      <c r="E53" s="5">
        <f t="shared" si="1"/>
        <v>7000</v>
      </c>
      <c r="I53" s="7">
        <v>3500</v>
      </c>
      <c r="L53" t="s">
        <v>29</v>
      </c>
      <c r="P53" s="30"/>
    </row>
    <row r="54" spans="1:32" x14ac:dyDescent="0.3">
      <c r="A54" s="20" t="s">
        <v>76</v>
      </c>
      <c r="B54" s="5">
        <f>3569</f>
        <v>3569</v>
      </c>
      <c r="C54" s="5">
        <f>22288.72</f>
        <v>22288.720000000001</v>
      </c>
      <c r="D54" s="5">
        <f>20741.82</f>
        <v>20741.82</v>
      </c>
      <c r="E54" s="5">
        <f t="shared" si="1"/>
        <v>46599.54</v>
      </c>
      <c r="I54" s="61">
        <f>SUM(J54:J62)</f>
        <v>17901.810000000001</v>
      </c>
      <c r="J54" s="59">
        <v>4028</v>
      </c>
      <c r="K54" s="57"/>
      <c r="L54" s="57" t="s">
        <v>31</v>
      </c>
      <c r="M54" s="57"/>
      <c r="N54" s="57"/>
      <c r="O54" s="57"/>
      <c r="P54" s="58"/>
      <c r="Q54" s="57"/>
      <c r="R54" s="56">
        <f>SUM(S54:S60)</f>
        <v>10937.89</v>
      </c>
      <c r="S54" s="59">
        <v>81.62</v>
      </c>
      <c r="T54" s="57" t="s">
        <v>80</v>
      </c>
      <c r="U54" s="57"/>
      <c r="V54" s="57"/>
      <c r="W54" s="57"/>
      <c r="X54" s="57"/>
      <c r="Y54" s="57"/>
      <c r="Z54" s="56">
        <v>746.19</v>
      </c>
      <c r="AA54" s="57"/>
      <c r="AB54" s="56">
        <v>9547.91</v>
      </c>
      <c r="AC54" s="57"/>
      <c r="AD54" s="56">
        <v>42835.26</v>
      </c>
      <c r="AE54" s="57"/>
      <c r="AF54" s="60">
        <v>4880.41</v>
      </c>
    </row>
    <row r="55" spans="1:32" hidden="1" x14ac:dyDescent="0.3">
      <c r="A55" s="20"/>
      <c r="B55" s="5"/>
      <c r="C55" s="5"/>
      <c r="D55" s="5"/>
      <c r="E55" s="5"/>
      <c r="J55" s="12">
        <v>1219.8</v>
      </c>
      <c r="L55" t="s">
        <v>38</v>
      </c>
      <c r="P55" s="30"/>
      <c r="S55" s="12">
        <v>80.25</v>
      </c>
      <c r="T55" t="s">
        <v>80</v>
      </c>
    </row>
    <row r="56" spans="1:32" hidden="1" x14ac:dyDescent="0.3">
      <c r="A56" s="20"/>
      <c r="B56" s="5"/>
      <c r="C56" s="5"/>
      <c r="D56" s="5"/>
      <c r="E56" s="5"/>
      <c r="J56" s="12">
        <v>604</v>
      </c>
      <c r="L56" t="s">
        <v>38</v>
      </c>
      <c r="P56" s="30"/>
      <c r="S56" s="12">
        <v>1440</v>
      </c>
      <c r="T56" t="s">
        <v>83</v>
      </c>
    </row>
    <row r="57" spans="1:32" hidden="1" x14ac:dyDescent="0.3">
      <c r="A57" s="20"/>
      <c r="B57" s="5"/>
      <c r="C57" s="5"/>
      <c r="D57" s="5"/>
      <c r="E57" s="5"/>
      <c r="J57" s="12">
        <v>250</v>
      </c>
      <c r="L57" t="s">
        <v>32</v>
      </c>
      <c r="P57" s="30"/>
      <c r="S57" s="12">
        <v>270</v>
      </c>
      <c r="T57" t="s">
        <v>84</v>
      </c>
    </row>
    <row r="58" spans="1:32" hidden="1" x14ac:dyDescent="0.3">
      <c r="A58" s="20"/>
      <c r="B58" s="5"/>
      <c r="C58" s="5"/>
      <c r="D58" s="5"/>
      <c r="E58" s="5"/>
      <c r="J58" s="12">
        <v>588.23</v>
      </c>
      <c r="L58" t="s">
        <v>39</v>
      </c>
      <c r="P58" s="30"/>
      <c r="S58" s="12">
        <v>221.02</v>
      </c>
      <c r="T58" t="s">
        <v>36</v>
      </c>
    </row>
    <row r="59" spans="1:32" hidden="1" x14ac:dyDescent="0.3">
      <c r="A59" s="20"/>
      <c r="B59" s="5"/>
      <c r="C59" s="5"/>
      <c r="D59" s="5"/>
      <c r="E59" s="5"/>
      <c r="J59" s="12">
        <v>370.57</v>
      </c>
      <c r="P59" s="30"/>
      <c r="S59" s="12">
        <v>400</v>
      </c>
      <c r="T59" t="s">
        <v>86</v>
      </c>
    </row>
    <row r="60" spans="1:32" hidden="1" x14ac:dyDescent="0.3">
      <c r="A60" s="21"/>
      <c r="B60" s="5"/>
      <c r="C60" s="5"/>
      <c r="D60" s="5"/>
      <c r="E60" s="5"/>
      <c r="J60" s="12">
        <v>236.21</v>
      </c>
      <c r="L60" t="s">
        <v>36</v>
      </c>
      <c r="P60" s="30"/>
      <c r="S60" s="13">
        <v>8445</v>
      </c>
      <c r="T60" t="s">
        <v>93</v>
      </c>
    </row>
    <row r="61" spans="1:32" hidden="1" x14ac:dyDescent="0.3">
      <c r="A61" s="21"/>
      <c r="B61" s="5"/>
      <c r="C61" s="5"/>
      <c r="D61" s="5"/>
      <c r="E61" s="5"/>
      <c r="J61" s="12">
        <v>605</v>
      </c>
      <c r="L61" t="s">
        <v>49</v>
      </c>
      <c r="P61" s="30"/>
    </row>
    <row r="62" spans="1:32" hidden="1" x14ac:dyDescent="0.3">
      <c r="A62" s="21"/>
      <c r="B62" s="5"/>
      <c r="C62" s="5"/>
      <c r="D62" s="5"/>
      <c r="E62" s="5"/>
      <c r="J62" s="13">
        <v>10000</v>
      </c>
      <c r="L62" t="s">
        <v>52</v>
      </c>
      <c r="P62" s="30"/>
    </row>
    <row r="63" spans="1:32" hidden="1" x14ac:dyDescent="0.3">
      <c r="A63" s="21"/>
      <c r="B63" s="5"/>
      <c r="C63" s="5"/>
      <c r="D63" s="5"/>
      <c r="E63" s="5"/>
      <c r="P63" s="30"/>
    </row>
    <row r="64" spans="1:32" x14ac:dyDescent="0.3">
      <c r="A64" s="20" t="s">
        <v>69</v>
      </c>
      <c r="B64" s="5"/>
      <c r="C64" s="5"/>
      <c r="D64" s="5"/>
      <c r="E64" s="5"/>
      <c r="I64" s="7">
        <v>658.19</v>
      </c>
      <c r="J64" s="7" t="s">
        <v>54</v>
      </c>
      <c r="L64" s="7" t="s">
        <v>47</v>
      </c>
      <c r="P64" s="30"/>
      <c r="R64" s="7">
        <v>658.19</v>
      </c>
      <c r="T64" s="7" t="s">
        <v>47</v>
      </c>
      <c r="Z64" s="7">
        <v>984.83</v>
      </c>
      <c r="AD64" s="7">
        <v>1316.38</v>
      </c>
    </row>
    <row r="65" spans="1:32" hidden="1" x14ac:dyDescent="0.3">
      <c r="A65" s="20"/>
      <c r="B65" s="5"/>
      <c r="C65" s="5"/>
      <c r="D65" s="5"/>
      <c r="E65" s="5"/>
      <c r="L65" s="7"/>
      <c r="P65" s="30"/>
    </row>
    <row r="66" spans="1:32" x14ac:dyDescent="0.3">
      <c r="A66" s="20" t="s">
        <v>70</v>
      </c>
      <c r="B66" s="5"/>
      <c r="C66" s="5"/>
      <c r="D66" s="5"/>
      <c r="E66" s="5"/>
      <c r="I66" s="7">
        <f>SUM(J66:J72)</f>
        <v>3522.34</v>
      </c>
      <c r="J66" s="11">
        <v>1675.26</v>
      </c>
      <c r="L66" t="s">
        <v>35</v>
      </c>
      <c r="P66" s="30"/>
      <c r="R66" s="7">
        <f>SUM(S66:S70)</f>
        <v>7332.01</v>
      </c>
      <c r="S66" s="11">
        <v>1671.1</v>
      </c>
      <c r="T66" t="s">
        <v>82</v>
      </c>
      <c r="Z66" s="7">
        <v>4164.08</v>
      </c>
      <c r="AB66" s="7">
        <v>2071.48</v>
      </c>
      <c r="AD66" s="7">
        <v>6221.06</v>
      </c>
      <c r="AF66" s="35">
        <v>408.84</v>
      </c>
    </row>
    <row r="67" spans="1:32" hidden="1" x14ac:dyDescent="0.3">
      <c r="A67" s="20"/>
      <c r="B67" s="5"/>
      <c r="C67" s="5"/>
      <c r="D67" s="5"/>
      <c r="E67" s="5"/>
      <c r="J67" s="12">
        <v>338.12</v>
      </c>
      <c r="L67" t="s">
        <v>50</v>
      </c>
      <c r="P67" s="30"/>
      <c r="S67" s="12">
        <v>471.82</v>
      </c>
      <c r="T67" t="s">
        <v>50</v>
      </c>
    </row>
    <row r="68" spans="1:32" hidden="1" x14ac:dyDescent="0.3">
      <c r="A68" s="20"/>
      <c r="B68" s="5"/>
      <c r="C68" s="5"/>
      <c r="D68" s="5"/>
      <c r="E68" s="5"/>
      <c r="J68" s="12">
        <v>496.48</v>
      </c>
      <c r="L68" t="s">
        <v>50</v>
      </c>
      <c r="P68" s="30"/>
      <c r="S68" s="12">
        <v>2834.04</v>
      </c>
      <c r="T68" t="s">
        <v>48</v>
      </c>
    </row>
    <row r="69" spans="1:32" hidden="1" x14ac:dyDescent="0.3">
      <c r="A69" s="20"/>
      <c r="B69" s="5"/>
      <c r="C69" s="5"/>
      <c r="D69" s="5"/>
      <c r="E69" s="5"/>
      <c r="J69" s="12">
        <v>208.47</v>
      </c>
      <c r="L69" t="s">
        <v>35</v>
      </c>
      <c r="P69" s="30"/>
      <c r="S69" s="12">
        <v>275</v>
      </c>
      <c r="T69" t="s">
        <v>92</v>
      </c>
    </row>
    <row r="70" spans="1:32" hidden="1" x14ac:dyDescent="0.3">
      <c r="A70" s="20"/>
      <c r="B70" s="5"/>
      <c r="C70" s="5"/>
      <c r="D70" s="5"/>
      <c r="E70" s="5"/>
      <c r="J70" s="12">
        <v>263.01</v>
      </c>
      <c r="L70" t="s">
        <v>35</v>
      </c>
      <c r="P70" s="30"/>
      <c r="S70" s="13">
        <v>2080.0500000000002</v>
      </c>
      <c r="T70" t="s">
        <v>63</v>
      </c>
    </row>
    <row r="71" spans="1:32" hidden="1" x14ac:dyDescent="0.3">
      <c r="A71" s="20"/>
      <c r="B71" s="5"/>
      <c r="C71" s="5"/>
      <c r="D71" s="5"/>
      <c r="E71" s="5"/>
      <c r="J71" s="12">
        <v>41</v>
      </c>
      <c r="L71" t="s">
        <v>35</v>
      </c>
      <c r="P71" s="30"/>
    </row>
    <row r="72" spans="1:32" hidden="1" x14ac:dyDescent="0.3">
      <c r="A72" s="20"/>
      <c r="B72" s="5"/>
      <c r="C72" s="5"/>
      <c r="D72" s="5"/>
      <c r="E72" s="5"/>
      <c r="J72" s="13">
        <v>500</v>
      </c>
      <c r="L72" t="s">
        <v>63</v>
      </c>
      <c r="P72" s="30"/>
    </row>
    <row r="73" spans="1:32" hidden="1" x14ac:dyDescent="0.3">
      <c r="A73" s="20"/>
      <c r="B73" s="5"/>
      <c r="C73" s="5"/>
      <c r="D73" s="5"/>
      <c r="E73" s="5"/>
      <c r="P73" s="30"/>
    </row>
    <row r="74" spans="1:32" x14ac:dyDescent="0.3">
      <c r="A74" s="20" t="s">
        <v>23</v>
      </c>
      <c r="B74" s="5"/>
      <c r="C74" s="5"/>
      <c r="D74" s="5"/>
      <c r="E74" s="5"/>
      <c r="I74" s="7">
        <v>2529</v>
      </c>
      <c r="L74" t="s">
        <v>37</v>
      </c>
      <c r="P74" s="30"/>
      <c r="R74" s="7">
        <v>256.99</v>
      </c>
      <c r="T74" t="s">
        <v>85</v>
      </c>
      <c r="Z74" s="7">
        <v>1473</v>
      </c>
      <c r="AD74" s="7">
        <v>1652</v>
      </c>
      <c r="AF74" s="35">
        <v>1652</v>
      </c>
    </row>
    <row r="75" spans="1:32" hidden="1" x14ac:dyDescent="0.3">
      <c r="A75" s="20"/>
      <c r="B75" s="5"/>
      <c r="C75" s="5"/>
      <c r="D75" s="5"/>
      <c r="E75" s="5"/>
      <c r="P75" s="30"/>
    </row>
    <row r="76" spans="1:32" x14ac:dyDescent="0.3">
      <c r="A76" s="20" t="s">
        <v>25</v>
      </c>
      <c r="B76" s="5"/>
      <c r="C76" s="5"/>
      <c r="D76" s="5"/>
      <c r="E76" s="5"/>
      <c r="I76" s="7">
        <v>964.39</v>
      </c>
      <c r="L76" t="s">
        <v>40</v>
      </c>
      <c r="P76" s="30"/>
      <c r="R76" s="7">
        <v>964.39</v>
      </c>
      <c r="T76" t="s">
        <v>40</v>
      </c>
      <c r="Z76" s="7">
        <v>964.39</v>
      </c>
      <c r="AB76" s="7">
        <v>1571.06</v>
      </c>
      <c r="AD76" s="7">
        <v>1571</v>
      </c>
      <c r="AF76" s="35">
        <v>3417.57</v>
      </c>
    </row>
    <row r="77" spans="1:32" hidden="1" x14ac:dyDescent="0.3">
      <c r="A77" s="20"/>
      <c r="B77" s="5"/>
      <c r="C77" s="5"/>
      <c r="D77" s="5"/>
      <c r="E77" s="5"/>
      <c r="P77" s="30"/>
    </row>
    <row r="78" spans="1:32" x14ac:dyDescent="0.3">
      <c r="A78" s="20" t="s">
        <v>22</v>
      </c>
      <c r="B78" s="5">
        <f>4300</f>
        <v>4300</v>
      </c>
      <c r="C78" s="5">
        <f>4382.01</f>
        <v>4382.01</v>
      </c>
      <c r="D78" s="5">
        <f>7400</f>
        <v>7400</v>
      </c>
      <c r="E78" s="5">
        <f>((B78)+(C78))+(D78)</f>
        <v>16082.01</v>
      </c>
      <c r="I78" s="56">
        <v>2600</v>
      </c>
      <c r="J78" s="56"/>
      <c r="K78" s="57"/>
      <c r="L78" s="57" t="s">
        <v>34</v>
      </c>
      <c r="M78" s="57"/>
      <c r="N78" s="57"/>
      <c r="O78" s="57"/>
      <c r="P78" s="58"/>
      <c r="Q78" s="57"/>
      <c r="R78" s="56">
        <f>SUM(S78:S80)</f>
        <v>7400</v>
      </c>
      <c r="S78" s="59">
        <v>2200</v>
      </c>
      <c r="T78" s="57" t="s">
        <v>34</v>
      </c>
      <c r="U78" s="57"/>
      <c r="V78" s="57"/>
      <c r="W78" s="57"/>
      <c r="X78" s="57"/>
      <c r="Y78" s="57"/>
      <c r="Z78" s="56"/>
      <c r="AA78" s="57"/>
      <c r="AB78" s="56">
        <v>12440.98</v>
      </c>
      <c r="AC78" s="57"/>
      <c r="AD78" s="56">
        <v>11000</v>
      </c>
      <c r="AE78" s="57"/>
      <c r="AF78" s="60">
        <v>4250</v>
      </c>
    </row>
    <row r="79" spans="1:32" hidden="1" x14ac:dyDescent="0.3">
      <c r="A79" s="3"/>
      <c r="B79" s="5"/>
      <c r="C79" s="5"/>
      <c r="D79" s="5"/>
      <c r="E79" s="5"/>
      <c r="P79" s="30"/>
      <c r="S79" s="12">
        <v>2600</v>
      </c>
      <c r="T79" t="s">
        <v>34</v>
      </c>
    </row>
    <row r="80" spans="1:32" x14ac:dyDescent="0.3">
      <c r="A80" s="3"/>
      <c r="B80" s="5"/>
      <c r="C80" s="5"/>
      <c r="D80" s="5"/>
      <c r="E80" s="5"/>
      <c r="P80" s="30"/>
      <c r="S80" s="13">
        <v>2600</v>
      </c>
      <c r="T80" t="s">
        <v>34</v>
      </c>
    </row>
    <row r="81" spans="1:30" ht="15.6" x14ac:dyDescent="0.3">
      <c r="A81" s="9" t="s">
        <v>24</v>
      </c>
      <c r="B81" s="5"/>
      <c r="C81" s="5"/>
      <c r="D81" s="5"/>
      <c r="E81" s="5"/>
      <c r="P81" s="30"/>
    </row>
    <row r="82" spans="1:30" x14ac:dyDescent="0.3">
      <c r="A82" s="20" t="s">
        <v>73</v>
      </c>
      <c r="B82" s="5"/>
      <c r="C82" s="5"/>
      <c r="D82" s="5"/>
      <c r="E82" s="5"/>
      <c r="I82" s="7">
        <f>SUM(J82:J89)</f>
        <v>2747.58</v>
      </c>
      <c r="J82" s="11">
        <v>446.39</v>
      </c>
      <c r="L82" t="s">
        <v>41</v>
      </c>
      <c r="P82" s="30"/>
      <c r="R82" s="7">
        <f>SUM(S82:S84)</f>
        <v>947</v>
      </c>
      <c r="S82" s="11">
        <v>212.04</v>
      </c>
      <c r="T82" t="s">
        <v>55</v>
      </c>
      <c r="Z82" s="7">
        <v>1687.76</v>
      </c>
      <c r="AB82" s="7">
        <v>1423.29</v>
      </c>
      <c r="AD82" s="7">
        <v>1398.54</v>
      </c>
    </row>
    <row r="83" spans="1:30" hidden="1" x14ac:dyDescent="0.3">
      <c r="A83" s="20"/>
      <c r="B83" s="5"/>
      <c r="C83" s="5"/>
      <c r="D83" s="5"/>
      <c r="E83" s="5"/>
      <c r="J83" s="12">
        <v>348.27</v>
      </c>
      <c r="L83" t="s">
        <v>41</v>
      </c>
      <c r="P83" s="30"/>
      <c r="S83" s="12">
        <v>370.26</v>
      </c>
      <c r="T83" t="s">
        <v>55</v>
      </c>
    </row>
    <row r="84" spans="1:30" hidden="1" x14ac:dyDescent="0.3">
      <c r="A84" s="20"/>
      <c r="B84" s="5"/>
      <c r="C84" s="5"/>
      <c r="D84" s="5"/>
      <c r="E84" s="5"/>
      <c r="J84" s="12">
        <f>250.08-3</f>
        <v>247.08</v>
      </c>
      <c r="L84" t="s">
        <v>41</v>
      </c>
      <c r="P84" s="30"/>
      <c r="S84" s="13">
        <v>364.7</v>
      </c>
      <c r="T84" t="s">
        <v>55</v>
      </c>
    </row>
    <row r="85" spans="1:30" hidden="1" x14ac:dyDescent="0.3">
      <c r="A85" s="20"/>
      <c r="B85" s="5"/>
      <c r="C85" s="5"/>
      <c r="D85" s="5"/>
      <c r="E85" s="5"/>
      <c r="J85" s="12">
        <v>207.66</v>
      </c>
      <c r="L85" t="s">
        <v>41</v>
      </c>
      <c r="P85" s="30"/>
    </row>
    <row r="86" spans="1:30" hidden="1" x14ac:dyDescent="0.3">
      <c r="A86" s="20"/>
      <c r="B86" s="5"/>
      <c r="C86" s="5"/>
      <c r="D86" s="5"/>
      <c r="E86" s="5"/>
      <c r="J86" s="12">
        <v>246.26</v>
      </c>
      <c r="L86" t="s">
        <v>55</v>
      </c>
      <c r="P86" s="30"/>
    </row>
    <row r="87" spans="1:30" hidden="1" x14ac:dyDescent="0.3">
      <c r="A87" s="20"/>
      <c r="B87" s="5"/>
      <c r="C87" s="5"/>
      <c r="D87" s="5"/>
      <c r="E87" s="5"/>
      <c r="J87" s="12">
        <v>342.23</v>
      </c>
      <c r="L87" t="s">
        <v>55</v>
      </c>
      <c r="P87" s="30"/>
    </row>
    <row r="88" spans="1:30" hidden="1" x14ac:dyDescent="0.3">
      <c r="A88" s="20"/>
      <c r="B88" s="5"/>
      <c r="C88" s="5"/>
      <c r="D88" s="5"/>
      <c r="E88" s="5"/>
      <c r="J88" s="12">
        <v>370.86</v>
      </c>
      <c r="L88" t="s">
        <v>55</v>
      </c>
      <c r="P88" s="30"/>
    </row>
    <row r="89" spans="1:30" hidden="1" x14ac:dyDescent="0.3">
      <c r="A89" s="20"/>
      <c r="B89" s="5"/>
      <c r="C89" s="5"/>
      <c r="D89" s="5"/>
      <c r="E89" s="5"/>
      <c r="J89" s="13">
        <v>538.83000000000004</v>
      </c>
      <c r="L89" t="s">
        <v>55</v>
      </c>
      <c r="P89" s="30"/>
    </row>
    <row r="90" spans="1:30" hidden="1" x14ac:dyDescent="0.3">
      <c r="A90" s="20"/>
      <c r="B90" s="5"/>
      <c r="C90" s="5"/>
      <c r="D90" s="5"/>
      <c r="E90" s="5"/>
      <c r="P90" s="30"/>
    </row>
    <row r="91" spans="1:30" x14ac:dyDescent="0.3">
      <c r="A91" s="20" t="s">
        <v>72</v>
      </c>
      <c r="B91" s="5">
        <f>673.82</f>
        <v>673.82</v>
      </c>
      <c r="C91" s="4"/>
      <c r="D91" s="4"/>
      <c r="E91" s="5">
        <f t="shared" si="1"/>
        <v>673.82</v>
      </c>
      <c r="J91" s="7" t="s">
        <v>54</v>
      </c>
      <c r="P91" s="30"/>
      <c r="AD91" s="7">
        <v>113.8</v>
      </c>
    </row>
    <row r="92" spans="1:30" hidden="1" x14ac:dyDescent="0.3">
      <c r="A92" s="21"/>
      <c r="B92" s="4"/>
      <c r="C92" s="4"/>
      <c r="D92" s="4"/>
      <c r="E92" s="5">
        <f t="shared" si="1"/>
        <v>0</v>
      </c>
      <c r="P92" s="30"/>
    </row>
    <row r="93" spans="1:30" x14ac:dyDescent="0.3">
      <c r="A93" s="20" t="s">
        <v>89</v>
      </c>
      <c r="B93" s="4"/>
      <c r="C93" s="4"/>
      <c r="D93" s="4"/>
      <c r="E93" s="5"/>
      <c r="P93" s="30"/>
      <c r="R93" s="7">
        <v>500</v>
      </c>
      <c r="T93" t="s">
        <v>90</v>
      </c>
      <c r="Z93" s="7">
        <v>1939.78</v>
      </c>
      <c r="AD93" s="7">
        <v>840</v>
      </c>
    </row>
    <row r="94" spans="1:30" hidden="1" x14ac:dyDescent="0.3">
      <c r="A94" s="21"/>
      <c r="B94" s="4"/>
      <c r="C94" s="4"/>
      <c r="D94" s="4"/>
      <c r="E94" s="5"/>
      <c r="P94" s="30"/>
    </row>
    <row r="95" spans="1:30" x14ac:dyDescent="0.3">
      <c r="A95" s="20" t="s">
        <v>68</v>
      </c>
      <c r="B95" s="5">
        <f>6025.76</f>
        <v>6025.76</v>
      </c>
      <c r="C95" s="5">
        <f>6435.9</f>
        <v>6435.9</v>
      </c>
      <c r="D95" s="5">
        <f>13141.84</f>
        <v>13141.84</v>
      </c>
      <c r="E95" s="5">
        <f t="shared" si="1"/>
        <v>25603.5</v>
      </c>
      <c r="I95" s="7">
        <f>SUM(J95:J97)</f>
        <v>6153.8399999999992</v>
      </c>
      <c r="J95" s="11">
        <v>104.24</v>
      </c>
      <c r="L95" t="s">
        <v>33</v>
      </c>
      <c r="P95" s="30"/>
      <c r="R95" s="7">
        <f>SUM(S95:S104)</f>
        <v>12853.57</v>
      </c>
      <c r="S95" s="11">
        <v>269.7</v>
      </c>
      <c r="T95" t="s">
        <v>33</v>
      </c>
      <c r="Z95" s="7">
        <v>6866.69</v>
      </c>
      <c r="AB95" s="7">
        <v>6195.27</v>
      </c>
      <c r="AD95" s="7">
        <v>6597.19</v>
      </c>
    </row>
    <row r="96" spans="1:30" x14ac:dyDescent="0.3">
      <c r="A96" s="20"/>
      <c r="B96" s="5"/>
      <c r="C96" s="5"/>
      <c r="D96" s="5"/>
      <c r="E96" s="5"/>
      <c r="J96" s="12">
        <v>5821.82</v>
      </c>
      <c r="L96" t="s">
        <v>43</v>
      </c>
      <c r="P96" s="30"/>
      <c r="S96" s="12">
        <v>104.24</v>
      </c>
      <c r="T96" t="s">
        <v>33</v>
      </c>
    </row>
    <row r="97" spans="1:32" hidden="1" x14ac:dyDescent="0.3">
      <c r="A97" s="20"/>
      <c r="B97" s="5"/>
      <c r="C97" s="5"/>
      <c r="D97" s="5"/>
      <c r="E97" s="5"/>
      <c r="J97" s="13">
        <v>227.78</v>
      </c>
      <c r="L97" t="s">
        <v>53</v>
      </c>
      <c r="P97" s="30"/>
      <c r="S97" s="12">
        <v>69.12</v>
      </c>
      <c r="T97" t="s">
        <v>33</v>
      </c>
    </row>
    <row r="98" spans="1:32" hidden="1" x14ac:dyDescent="0.3">
      <c r="A98" s="20"/>
      <c r="B98" s="5"/>
      <c r="C98" s="5"/>
      <c r="D98" s="5"/>
      <c r="E98" s="5"/>
      <c r="J98" s="10"/>
      <c r="P98" s="30"/>
      <c r="S98" s="12">
        <v>227.28</v>
      </c>
      <c r="T98" t="s">
        <v>33</v>
      </c>
    </row>
    <row r="99" spans="1:32" hidden="1" x14ac:dyDescent="0.3">
      <c r="A99" s="20"/>
      <c r="B99" s="5"/>
      <c r="C99" s="5"/>
      <c r="D99" s="5"/>
      <c r="E99" s="5"/>
      <c r="J99" s="10"/>
      <c r="P99" s="30"/>
      <c r="S99" s="12">
        <v>5831.82</v>
      </c>
      <c r="T99" t="s">
        <v>43</v>
      </c>
    </row>
    <row r="100" spans="1:32" hidden="1" x14ac:dyDescent="0.3">
      <c r="A100" s="3"/>
      <c r="B100" s="5"/>
      <c r="C100" s="5"/>
      <c r="D100" s="5"/>
      <c r="E100" s="5"/>
      <c r="J100" s="10"/>
      <c r="P100" s="30"/>
      <c r="S100" s="12">
        <v>94.24</v>
      </c>
      <c r="T100" t="s">
        <v>33</v>
      </c>
    </row>
    <row r="101" spans="1:32" hidden="1" x14ac:dyDescent="0.3">
      <c r="A101" s="3"/>
      <c r="B101" s="5"/>
      <c r="C101" s="5"/>
      <c r="D101" s="5"/>
      <c r="E101" s="5"/>
      <c r="J101" s="10"/>
      <c r="P101" s="30"/>
      <c r="S101" s="12">
        <v>73.63</v>
      </c>
      <c r="T101" t="s">
        <v>33</v>
      </c>
    </row>
    <row r="102" spans="1:32" hidden="1" x14ac:dyDescent="0.3">
      <c r="A102" s="3"/>
      <c r="B102" s="5"/>
      <c r="C102" s="5"/>
      <c r="D102" s="5"/>
      <c r="E102" s="5"/>
      <c r="J102" s="10"/>
      <c r="P102" s="30"/>
      <c r="S102" s="12">
        <v>5831.82</v>
      </c>
      <c r="T102" t="s">
        <v>43</v>
      </c>
    </row>
    <row r="103" spans="1:32" hidden="1" x14ac:dyDescent="0.3">
      <c r="A103" s="3"/>
      <c r="B103" s="5"/>
      <c r="C103" s="5"/>
      <c r="D103" s="5"/>
      <c r="E103" s="5"/>
      <c r="J103" s="10"/>
      <c r="P103" s="30"/>
      <c r="S103" s="12">
        <v>134.85</v>
      </c>
      <c r="T103" t="s">
        <v>53</v>
      </c>
    </row>
    <row r="104" spans="1:32" hidden="1" x14ac:dyDescent="0.3">
      <c r="A104" s="3"/>
      <c r="B104" s="5"/>
      <c r="C104" s="5"/>
      <c r="D104" s="5"/>
      <c r="E104" s="5"/>
      <c r="J104" s="10"/>
      <c r="P104" s="30"/>
      <c r="S104" s="13">
        <v>216.87</v>
      </c>
      <c r="T104" t="s">
        <v>53</v>
      </c>
    </row>
    <row r="105" spans="1:32" ht="15.6" x14ac:dyDescent="0.3">
      <c r="A105" s="9" t="s">
        <v>71</v>
      </c>
      <c r="B105" s="5"/>
      <c r="C105" s="5"/>
      <c r="D105" s="5"/>
      <c r="E105" s="5"/>
      <c r="P105" s="30"/>
    </row>
    <row r="106" spans="1:32" x14ac:dyDescent="0.3">
      <c r="A106" s="20" t="s">
        <v>95</v>
      </c>
      <c r="I106" s="7">
        <v>0</v>
      </c>
      <c r="P106" s="30"/>
      <c r="R106" s="7">
        <v>34553.629999999997</v>
      </c>
      <c r="T106" t="s">
        <v>87</v>
      </c>
      <c r="Z106" s="7">
        <v>36623.35</v>
      </c>
      <c r="AB106" s="7">
        <v>19420.669999999998</v>
      </c>
      <c r="AD106" s="7">
        <v>19550.919999999998</v>
      </c>
      <c r="AF106" s="35">
        <v>18616.09</v>
      </c>
    </row>
    <row r="107" spans="1:32" hidden="1" x14ac:dyDescent="0.3">
      <c r="A107" s="20"/>
      <c r="P107" s="30"/>
    </row>
    <row r="108" spans="1:32" x14ac:dyDescent="0.3">
      <c r="A108" s="20" t="s">
        <v>99</v>
      </c>
      <c r="P108" s="30"/>
      <c r="R108" s="7">
        <v>1014.2</v>
      </c>
      <c r="T108" t="s">
        <v>94</v>
      </c>
      <c r="Z108" s="7">
        <v>400</v>
      </c>
      <c r="AD108" s="7">
        <v>400</v>
      </c>
    </row>
    <row r="109" spans="1:32" hidden="1" x14ac:dyDescent="0.3">
      <c r="A109" s="21"/>
      <c r="P109" s="30"/>
    </row>
    <row r="110" spans="1:32" hidden="1" x14ac:dyDescent="0.3">
      <c r="A110" s="21"/>
      <c r="P110" s="30"/>
    </row>
    <row r="111" spans="1:32" hidden="1" x14ac:dyDescent="0.3">
      <c r="A111" s="20"/>
      <c r="B111" s="5"/>
      <c r="C111" s="5"/>
      <c r="D111" s="5"/>
      <c r="E111" s="5"/>
      <c r="P111" s="30"/>
    </row>
    <row r="112" spans="1:32" x14ac:dyDescent="0.3">
      <c r="A112" s="20" t="s">
        <v>173</v>
      </c>
      <c r="B112" s="5"/>
      <c r="C112" s="5"/>
      <c r="D112" s="5"/>
      <c r="E112" s="5"/>
      <c r="P112" s="30"/>
      <c r="Z112" s="7">
        <v>484</v>
      </c>
    </row>
    <row r="113" spans="1:34" x14ac:dyDescent="0.3">
      <c r="A113" s="20" t="s">
        <v>74</v>
      </c>
      <c r="B113" s="5"/>
      <c r="C113" s="5"/>
      <c r="D113" s="5"/>
      <c r="E113" s="5"/>
      <c r="I113" s="7">
        <f>SUM(J113:J116)</f>
        <v>2279</v>
      </c>
      <c r="J113" s="11">
        <v>569</v>
      </c>
      <c r="L113" t="s">
        <v>58</v>
      </c>
      <c r="P113" s="30"/>
      <c r="R113" s="7">
        <f>SUM(S113:S114)</f>
        <v>1138</v>
      </c>
      <c r="S113" s="11">
        <v>569</v>
      </c>
      <c r="T113" t="s">
        <v>58</v>
      </c>
      <c r="Z113" s="7">
        <v>909</v>
      </c>
      <c r="AB113" s="7">
        <v>1357</v>
      </c>
    </row>
    <row r="114" spans="1:34" x14ac:dyDescent="0.3">
      <c r="A114" s="20"/>
      <c r="B114" s="5"/>
      <c r="C114" s="5"/>
      <c r="D114" s="5"/>
      <c r="E114" s="5"/>
      <c r="J114" s="12">
        <v>569</v>
      </c>
      <c r="L114" t="s">
        <v>59</v>
      </c>
      <c r="P114" s="30"/>
      <c r="S114" s="13">
        <v>569</v>
      </c>
      <c r="T114" t="s">
        <v>96</v>
      </c>
    </row>
    <row r="115" spans="1:34" hidden="1" x14ac:dyDescent="0.3">
      <c r="A115" s="20"/>
      <c r="B115" s="5"/>
      <c r="C115" s="5"/>
      <c r="D115" s="5"/>
      <c r="E115" s="5"/>
      <c r="J115" s="12">
        <v>570</v>
      </c>
      <c r="L115" t="s">
        <v>60</v>
      </c>
      <c r="P115" s="30"/>
    </row>
    <row r="116" spans="1:34" hidden="1" x14ac:dyDescent="0.3">
      <c r="A116" s="20"/>
      <c r="B116" s="5"/>
      <c r="C116" s="5"/>
      <c r="D116" s="5"/>
      <c r="E116" s="5"/>
      <c r="J116" s="13">
        <v>571</v>
      </c>
      <c r="L116" t="s">
        <v>61</v>
      </c>
      <c r="P116" s="30"/>
    </row>
    <row r="117" spans="1:34" hidden="1" x14ac:dyDescent="0.3">
      <c r="A117" s="20"/>
      <c r="B117" s="5"/>
      <c r="C117" s="5"/>
      <c r="D117" s="5"/>
      <c r="E117" s="5"/>
      <c r="P117" s="30"/>
    </row>
    <row r="118" spans="1:34" hidden="1" x14ac:dyDescent="0.3">
      <c r="A118" s="20"/>
      <c r="B118" s="5"/>
      <c r="C118" s="5"/>
      <c r="D118" s="5"/>
      <c r="E118" s="5"/>
      <c r="P118" s="30"/>
    </row>
    <row r="119" spans="1:34" hidden="1" x14ac:dyDescent="0.3">
      <c r="A119" s="3"/>
      <c r="B119" s="5"/>
      <c r="C119" s="5"/>
      <c r="D119" s="5"/>
      <c r="E119" s="5"/>
      <c r="P119" s="30"/>
    </row>
    <row r="120" spans="1:34" hidden="1" x14ac:dyDescent="0.3">
      <c r="A120" s="3"/>
      <c r="B120" s="5"/>
      <c r="C120" s="5"/>
      <c r="D120" s="5"/>
      <c r="E120" s="5"/>
      <c r="P120" s="30"/>
    </row>
    <row r="121" spans="1:34" hidden="1" x14ac:dyDescent="0.3">
      <c r="A121" s="3"/>
      <c r="B121" s="5"/>
      <c r="C121" s="5"/>
      <c r="D121" s="5"/>
      <c r="E121" s="5"/>
      <c r="P121" s="30"/>
    </row>
    <row r="122" spans="1:34" ht="15" hidden="1" thickBot="1" x14ac:dyDescent="0.35">
      <c r="A122" s="18"/>
      <c r="B122" s="5"/>
      <c r="C122" s="5"/>
      <c r="D122" s="5"/>
      <c r="E122" s="5"/>
      <c r="I122" s="15"/>
      <c r="P122" s="30"/>
      <c r="R122" s="15"/>
    </row>
    <row r="123" spans="1:34" ht="15" thickBot="1" x14ac:dyDescent="0.35">
      <c r="A123" s="3"/>
      <c r="B123" s="5"/>
      <c r="C123" s="5"/>
      <c r="D123" s="5"/>
      <c r="E123" s="5"/>
      <c r="L123" s="14" t="s">
        <v>54</v>
      </c>
      <c r="P123" s="30"/>
    </row>
    <row r="124" spans="1:34" ht="16.2" thickBot="1" x14ac:dyDescent="0.35">
      <c r="A124" s="9" t="s">
        <v>78</v>
      </c>
      <c r="B124" s="5"/>
      <c r="C124" s="5"/>
      <c r="D124" s="5"/>
      <c r="E124" s="5"/>
      <c r="I124" s="36">
        <f>SUM(I27:I122)</f>
        <v>88510.39</v>
      </c>
      <c r="J124" s="34"/>
      <c r="K124" s="32"/>
      <c r="L124" s="32" t="s">
        <v>54</v>
      </c>
      <c r="M124" s="32"/>
      <c r="N124" s="32"/>
      <c r="O124" s="32"/>
      <c r="P124" s="33"/>
      <c r="Q124" s="32"/>
      <c r="R124" s="36">
        <f>SUM(R27:R122)</f>
        <v>166991.38</v>
      </c>
      <c r="S124" s="34" t="s">
        <v>54</v>
      </c>
      <c r="T124" s="32"/>
      <c r="U124" s="32"/>
      <c r="V124" s="32"/>
      <c r="W124" s="32"/>
      <c r="X124" s="32"/>
      <c r="Y124" s="32"/>
      <c r="Z124" s="36">
        <f>SUM(Z27:Z122)</f>
        <v>80349.179999999993</v>
      </c>
      <c r="AA124" s="32"/>
      <c r="AB124" s="36">
        <f>SUM(AB27:AB122)</f>
        <v>147197.37</v>
      </c>
      <c r="AC124" s="32"/>
      <c r="AD124" s="36">
        <f>SUM(AD27:AD122)</f>
        <v>102031.98</v>
      </c>
      <c r="AE124" s="32"/>
      <c r="AF124" s="36">
        <f>SUM(AF27:AF122)</f>
        <v>85078.9</v>
      </c>
      <c r="AH124" s="35">
        <f>SUM(I124:AF124)</f>
        <v>670159.20000000007</v>
      </c>
    </row>
    <row r="125" spans="1:34" x14ac:dyDescent="0.3">
      <c r="A125" s="3"/>
      <c r="B125" s="5"/>
      <c r="C125" s="5"/>
      <c r="D125" s="5"/>
      <c r="E125" s="5"/>
      <c r="L125" s="14" t="s">
        <v>54</v>
      </c>
      <c r="P125" s="30"/>
    </row>
    <row r="126" spans="1:34" ht="15" thickBot="1" x14ac:dyDescent="0.35">
      <c r="P126" s="30"/>
    </row>
    <row r="127" spans="1:34" ht="16.2" thickBot="1" x14ac:dyDescent="0.35">
      <c r="A127" s="9" t="s">
        <v>176</v>
      </c>
      <c r="B127" s="5"/>
      <c r="C127" s="5"/>
      <c r="D127" s="5"/>
      <c r="E127" s="5"/>
      <c r="I127" s="37">
        <f>+I24-I124</f>
        <v>55052.210000000006</v>
      </c>
      <c r="J127" s="38"/>
      <c r="K127" s="39"/>
      <c r="L127" s="39"/>
      <c r="M127" s="39"/>
      <c r="N127" s="39"/>
      <c r="O127" s="39"/>
      <c r="P127" s="39"/>
      <c r="Q127" s="39"/>
      <c r="R127" s="37">
        <f>+R24-R124</f>
        <v>23813.51999999999</v>
      </c>
      <c r="S127" s="38"/>
      <c r="T127" s="39"/>
      <c r="U127" s="39"/>
      <c r="V127" s="39"/>
      <c r="W127" s="39"/>
      <c r="X127" s="39"/>
      <c r="Y127" s="39"/>
      <c r="Z127" s="37">
        <f>+Z24-Z124</f>
        <v>-71383.92</v>
      </c>
      <c r="AA127" s="39"/>
      <c r="AB127" s="37">
        <f>+AB24-AB124</f>
        <v>-30449.039999999994</v>
      </c>
      <c r="AC127" s="39"/>
      <c r="AD127" s="37">
        <f>+AD24-AD124</f>
        <v>230.69000000001688</v>
      </c>
      <c r="AE127" s="39"/>
      <c r="AF127" s="36">
        <f>+AF24-AF124</f>
        <v>49302.390000000014</v>
      </c>
      <c r="AG127" s="39"/>
      <c r="AH127" s="40"/>
    </row>
    <row r="128" spans="1:34" x14ac:dyDescent="0.3">
      <c r="A128" s="3"/>
      <c r="B128" s="5"/>
      <c r="C128" s="5"/>
      <c r="D128" s="5"/>
      <c r="E128" s="5"/>
    </row>
    <row r="129" spans="1:32" ht="16.2" thickBot="1" x14ac:dyDescent="0.35">
      <c r="A129" s="9" t="s">
        <v>177</v>
      </c>
      <c r="B129" s="5"/>
      <c r="C129" s="5"/>
      <c r="D129" s="5"/>
      <c r="E129" s="5"/>
      <c r="AF129" s="49">
        <f>SUM(I127:AF127)</f>
        <v>26565.850000000035</v>
      </c>
    </row>
    <row r="130" spans="1:32" ht="15" thickTop="1" x14ac:dyDescent="0.3">
      <c r="A130" s="3"/>
      <c r="B130" s="5"/>
      <c r="C130" s="5"/>
      <c r="D130" s="5"/>
      <c r="E130" s="5"/>
    </row>
    <row r="131" spans="1:32" x14ac:dyDescent="0.3">
      <c r="A131" s="3"/>
      <c r="B131" s="5"/>
      <c r="C131" s="5"/>
      <c r="D131" s="5"/>
      <c r="E131" s="5"/>
    </row>
    <row r="132" spans="1:32" x14ac:dyDescent="0.3">
      <c r="A132" s="3"/>
      <c r="B132" s="5"/>
      <c r="C132" s="5"/>
      <c r="D132" s="5"/>
      <c r="E132" s="5"/>
    </row>
    <row r="133" spans="1:32" x14ac:dyDescent="0.3">
      <c r="A133" s="3"/>
      <c r="B133" s="5"/>
      <c r="C133" s="5"/>
      <c r="D133" s="5"/>
      <c r="E133" s="5"/>
    </row>
    <row r="134" spans="1:32" x14ac:dyDescent="0.3">
      <c r="A134" s="3"/>
      <c r="B134" s="5"/>
      <c r="C134" s="5"/>
      <c r="D134" s="5"/>
      <c r="E134" s="5"/>
    </row>
  </sheetData>
  <mergeCells count="4">
    <mergeCell ref="A3:E3"/>
    <mergeCell ref="I5:J5"/>
    <mergeCell ref="A1:AF1"/>
    <mergeCell ref="A2:AF2"/>
  </mergeCells>
  <printOptions horizontalCentered="1" verticalCentered="1"/>
  <pageMargins left="0.2" right="0.2" top="0.5" bottom="0.25" header="0.3" footer="0.3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E08C-0BC1-4378-974B-598BC4F0FB3B}">
  <sheetPr>
    <pageSetUpPr fitToPage="1"/>
  </sheetPr>
  <dimension ref="A1:AD170"/>
  <sheetViews>
    <sheetView topLeftCell="A30" workbookViewId="0">
      <selection activeCell="U144" sqref="U144"/>
    </sheetView>
  </sheetViews>
  <sheetFormatPr defaultRowHeight="14.4" x14ac:dyDescent="0.3"/>
  <cols>
    <col min="1" max="1" width="48.6640625" customWidth="1"/>
    <col min="2" max="4" width="11.109375" hidden="1" customWidth="1"/>
    <col min="5" max="5" width="12" hidden="1" customWidth="1"/>
    <col min="6" max="6" width="0" hidden="1" customWidth="1"/>
    <col min="9" max="9" width="14" style="7" bestFit="1" customWidth="1"/>
    <col min="10" max="10" width="11.5546875" style="7" bestFit="1" customWidth="1"/>
    <col min="12" max="12" width="10.5546875" bestFit="1" customWidth="1"/>
    <col min="18" max="18" width="16" style="7" customWidth="1"/>
    <col min="19" max="19" width="12.5546875" style="7" bestFit="1" customWidth="1"/>
  </cols>
  <sheetData>
    <row r="1" spans="1:30" ht="17.399999999999999" x14ac:dyDescent="0.3">
      <c r="A1" s="66" t="s">
        <v>26</v>
      </c>
      <c r="B1" s="63"/>
      <c r="C1" s="63"/>
      <c r="D1" s="63"/>
      <c r="E1" s="63"/>
      <c r="Q1" s="30"/>
    </row>
    <row r="2" spans="1:30" ht="17.399999999999999" x14ac:dyDescent="0.3">
      <c r="A2" s="66" t="s">
        <v>27</v>
      </c>
      <c r="B2" s="63"/>
      <c r="C2" s="63"/>
      <c r="D2" s="63"/>
      <c r="E2" s="63"/>
      <c r="Q2" s="30"/>
    </row>
    <row r="3" spans="1:30" x14ac:dyDescent="0.3">
      <c r="A3" s="62" t="s">
        <v>54</v>
      </c>
      <c r="B3" s="63"/>
      <c r="C3" s="63"/>
      <c r="D3" s="63"/>
      <c r="E3" s="63"/>
      <c r="Q3" s="30"/>
    </row>
    <row r="4" spans="1:30" x14ac:dyDescent="0.3">
      <c r="Q4" s="30"/>
    </row>
    <row r="5" spans="1:30" ht="15.6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  <c r="I5" s="64" t="s">
        <v>138</v>
      </c>
      <c r="J5" s="64"/>
      <c r="Q5" s="30"/>
      <c r="R5" s="64" t="s">
        <v>156</v>
      </c>
      <c r="S5" s="64"/>
      <c r="AD5" s="17" t="s">
        <v>100</v>
      </c>
    </row>
    <row r="6" spans="1:30" ht="15.6" x14ac:dyDescent="0.3">
      <c r="A6" s="9" t="s">
        <v>4</v>
      </c>
      <c r="B6" s="4"/>
      <c r="C6" s="4"/>
      <c r="D6" s="4"/>
      <c r="E6" s="4"/>
      <c r="I6" s="29" t="s">
        <v>3</v>
      </c>
      <c r="J6" s="29" t="s">
        <v>166</v>
      </c>
      <c r="Q6" s="30"/>
      <c r="R6" s="29" t="s">
        <v>3</v>
      </c>
      <c r="S6" s="29" t="s">
        <v>166</v>
      </c>
    </row>
    <row r="7" spans="1:30" x14ac:dyDescent="0.3">
      <c r="A7" s="20" t="s">
        <v>5</v>
      </c>
      <c r="B7" s="5">
        <f>250</f>
        <v>250</v>
      </c>
      <c r="C7" s="4"/>
      <c r="D7" s="4"/>
      <c r="E7" s="5">
        <f t="shared" ref="E7:E17" si="0">((B7)+(C7))+(D7)</f>
        <v>250</v>
      </c>
      <c r="Q7" s="30"/>
    </row>
    <row r="8" spans="1:30" x14ac:dyDescent="0.3">
      <c r="A8" s="20" t="s">
        <v>6</v>
      </c>
      <c r="B8" s="5">
        <f>150</f>
        <v>150</v>
      </c>
      <c r="C8" s="5">
        <f>50</f>
        <v>50</v>
      </c>
      <c r="D8" s="5">
        <f>270</f>
        <v>270</v>
      </c>
      <c r="E8" s="5">
        <f t="shared" si="0"/>
        <v>470</v>
      </c>
      <c r="Q8" s="30"/>
    </row>
    <row r="9" spans="1:30" x14ac:dyDescent="0.3">
      <c r="A9" s="20" t="s">
        <v>7</v>
      </c>
      <c r="B9" s="5">
        <f>73579.86</f>
        <v>73579.86</v>
      </c>
      <c r="C9" s="5">
        <f>79094</f>
        <v>79094</v>
      </c>
      <c r="D9" s="5">
        <f>80307.8</f>
        <v>80307.8</v>
      </c>
      <c r="E9" s="5">
        <f t="shared" si="0"/>
        <v>232981.65999999997</v>
      </c>
      <c r="Q9" s="30"/>
    </row>
    <row r="10" spans="1:30" x14ac:dyDescent="0.3">
      <c r="A10" s="20" t="s">
        <v>8</v>
      </c>
      <c r="B10" s="5">
        <f>16163.94</f>
        <v>16163.94</v>
      </c>
      <c r="C10" s="5">
        <f>5019.2</f>
        <v>5019.2</v>
      </c>
      <c r="D10" s="5">
        <f>3567.8</f>
        <v>3567.8</v>
      </c>
      <c r="E10" s="5">
        <f t="shared" si="0"/>
        <v>24750.94</v>
      </c>
      <c r="Q10" s="30"/>
    </row>
    <row r="11" spans="1:30" x14ac:dyDescent="0.3">
      <c r="A11" s="20" t="s">
        <v>9</v>
      </c>
      <c r="B11" s="4"/>
      <c r="C11" s="4"/>
      <c r="D11" s="5">
        <f>185.41</f>
        <v>185.41</v>
      </c>
      <c r="E11" s="5">
        <f t="shared" si="0"/>
        <v>185.41</v>
      </c>
      <c r="Q11" s="30"/>
    </row>
    <row r="12" spans="1:30" x14ac:dyDescent="0.3">
      <c r="A12" s="20" t="s">
        <v>10</v>
      </c>
      <c r="B12" s="5">
        <f>360</f>
        <v>360</v>
      </c>
      <c r="C12" s="4"/>
      <c r="D12" s="5">
        <f>360</f>
        <v>360</v>
      </c>
      <c r="E12" s="5">
        <f t="shared" si="0"/>
        <v>720</v>
      </c>
      <c r="Q12" s="30"/>
    </row>
    <row r="13" spans="1:30" x14ac:dyDescent="0.3">
      <c r="A13" s="20" t="s">
        <v>11</v>
      </c>
      <c r="B13" s="4"/>
      <c r="C13" s="5">
        <f>250</f>
        <v>250</v>
      </c>
      <c r="D13" s="4"/>
      <c r="E13" s="5">
        <f t="shared" si="0"/>
        <v>250</v>
      </c>
      <c r="Q13" s="30"/>
    </row>
    <row r="14" spans="1:30" x14ac:dyDescent="0.3">
      <c r="A14" s="20" t="s">
        <v>12</v>
      </c>
      <c r="B14" s="4"/>
      <c r="C14" s="4"/>
      <c r="D14" s="5">
        <f>1457638.78</f>
        <v>1457638.78</v>
      </c>
      <c r="E14" s="5">
        <f t="shared" si="0"/>
        <v>1457638.78</v>
      </c>
      <c r="Q14" s="30"/>
    </row>
    <row r="15" spans="1:30" x14ac:dyDescent="0.3">
      <c r="A15" s="20" t="s">
        <v>13</v>
      </c>
      <c r="B15" s="5">
        <f>21368.6</f>
        <v>21368.6</v>
      </c>
      <c r="C15" s="5">
        <f>578825.05</f>
        <v>578825.05000000005</v>
      </c>
      <c r="D15" s="5">
        <f>-619806.94</f>
        <v>-619806.93999999994</v>
      </c>
      <c r="E15" s="5">
        <f t="shared" si="0"/>
        <v>-19613.289999999921</v>
      </c>
      <c r="Q15" s="30"/>
    </row>
    <row r="16" spans="1:30" x14ac:dyDescent="0.3">
      <c r="A16" s="20" t="s">
        <v>14</v>
      </c>
      <c r="B16" s="6">
        <f>((((((((B7)+(B8))+(B9))+(B10))+(B11))+(B12))+(B13))+(B14))+(B15)</f>
        <v>111872.4</v>
      </c>
      <c r="C16" s="6">
        <f>((((((((C7)+(C8))+(C9))+(C10))+(C11))+(C12))+(C13))+(C14))+(C15)</f>
        <v>663238.25</v>
      </c>
      <c r="D16" s="6">
        <f>((((((((D7)+(D8))+(D9))+(D10))+(D11))+(D12))+(D13))+(D14))+(D15)</f>
        <v>922522.85000000009</v>
      </c>
      <c r="E16" s="6">
        <f t="shared" si="0"/>
        <v>1697633.5</v>
      </c>
      <c r="Q16" s="30"/>
    </row>
    <row r="17" spans="1:21" x14ac:dyDescent="0.3">
      <c r="A17" s="3" t="s">
        <v>54</v>
      </c>
      <c r="B17" s="6">
        <f>(B16)-(0)</f>
        <v>111872.4</v>
      </c>
      <c r="C17" s="6">
        <f>(C16)-(0)</f>
        <v>663238.25</v>
      </c>
      <c r="D17" s="6">
        <f>(D16)-(0)</f>
        <v>922522.85000000009</v>
      </c>
      <c r="E17" s="6">
        <f t="shared" si="0"/>
        <v>1697633.5</v>
      </c>
      <c r="Q17" s="30"/>
    </row>
    <row r="18" spans="1:21" x14ac:dyDescent="0.3">
      <c r="A18" s="3"/>
      <c r="B18" s="8"/>
      <c r="C18" s="8"/>
      <c r="D18" s="8"/>
      <c r="E18" s="8"/>
      <c r="Q18" s="30"/>
    </row>
    <row r="19" spans="1:21" ht="15.6" x14ac:dyDescent="0.3">
      <c r="A19" s="9" t="s">
        <v>15</v>
      </c>
      <c r="B19" s="4"/>
      <c r="C19" s="4"/>
      <c r="D19" s="4"/>
      <c r="E19" s="4"/>
      <c r="Q19" s="30"/>
    </row>
    <row r="20" spans="1:21" ht="15.6" x14ac:dyDescent="0.3">
      <c r="A20" s="9"/>
      <c r="B20" s="4"/>
      <c r="C20" s="4"/>
      <c r="D20" s="4"/>
      <c r="E20" s="4"/>
      <c r="Q20" s="30"/>
    </row>
    <row r="21" spans="1:21" x14ac:dyDescent="0.3">
      <c r="A21" s="20" t="s">
        <v>16</v>
      </c>
      <c r="B21" s="5">
        <f>91.5</f>
        <v>91.5</v>
      </c>
      <c r="C21" s="4"/>
      <c r="D21" s="5">
        <f>45.75</f>
        <v>45.75</v>
      </c>
      <c r="E21" s="5">
        <f t="shared" ref="E21:E125" si="1">((B21)+(C21))+(D21)</f>
        <v>137.25</v>
      </c>
      <c r="Q21" s="30"/>
      <c r="S21" s="10"/>
    </row>
    <row r="22" spans="1:21" x14ac:dyDescent="0.3">
      <c r="A22" s="20" t="s">
        <v>17</v>
      </c>
      <c r="B22" s="5">
        <f>330</f>
        <v>330</v>
      </c>
      <c r="C22" s="4"/>
      <c r="D22" s="4"/>
      <c r="E22" s="5">
        <f t="shared" si="1"/>
        <v>330</v>
      </c>
      <c r="I22" s="7" t="s">
        <v>54</v>
      </c>
      <c r="L22" t="s">
        <v>54</v>
      </c>
      <c r="Q22" s="30"/>
      <c r="R22" s="10"/>
      <c r="S22" s="10"/>
    </row>
    <row r="23" spans="1:21" x14ac:dyDescent="0.3">
      <c r="A23" s="20" t="s">
        <v>18</v>
      </c>
      <c r="B23" s="4"/>
      <c r="C23" s="5">
        <f>38612.78</f>
        <v>38612.78</v>
      </c>
      <c r="D23" s="5">
        <f>77225.56</f>
        <v>77225.56</v>
      </c>
      <c r="E23" s="5">
        <f t="shared" si="1"/>
        <v>115838.34</v>
      </c>
      <c r="I23" s="10"/>
      <c r="J23" s="10"/>
      <c r="Q23" s="30"/>
      <c r="R23" s="10">
        <f>SUM(S23:S27)</f>
        <v>40696.979999999996</v>
      </c>
      <c r="S23" s="11">
        <v>149</v>
      </c>
      <c r="T23">
        <v>1310</v>
      </c>
      <c r="U23" t="s">
        <v>114</v>
      </c>
    </row>
    <row r="24" spans="1:21" x14ac:dyDescent="0.3">
      <c r="A24" s="20"/>
      <c r="B24" s="4"/>
      <c r="C24" s="5"/>
      <c r="D24" s="5"/>
      <c r="E24" s="5"/>
      <c r="I24" s="10"/>
      <c r="J24" s="10"/>
      <c r="Q24" s="30"/>
      <c r="R24" s="10"/>
      <c r="S24" s="12">
        <v>159</v>
      </c>
      <c r="T24">
        <v>1311</v>
      </c>
      <c r="U24" t="s">
        <v>114</v>
      </c>
    </row>
    <row r="25" spans="1:21" x14ac:dyDescent="0.3">
      <c r="A25" s="20"/>
      <c r="B25" s="4"/>
      <c r="C25" s="5"/>
      <c r="D25" s="5"/>
      <c r="E25" s="5"/>
      <c r="I25" s="10"/>
      <c r="J25" s="10"/>
      <c r="Q25" s="30"/>
      <c r="R25" s="10"/>
      <c r="S25" s="12">
        <v>1223.2</v>
      </c>
      <c r="T25">
        <v>1321</v>
      </c>
      <c r="U25" t="s">
        <v>161</v>
      </c>
    </row>
    <row r="26" spans="1:21" x14ac:dyDescent="0.3">
      <c r="A26" s="20"/>
      <c r="B26" s="4"/>
      <c r="C26" s="5"/>
      <c r="D26" s="5"/>
      <c r="E26" s="5"/>
      <c r="I26" s="10"/>
      <c r="J26" s="10"/>
      <c r="Q26" s="30"/>
      <c r="R26" s="10"/>
      <c r="S26" s="12">
        <v>553</v>
      </c>
      <c r="T26">
        <v>1335</v>
      </c>
      <c r="U26" t="s">
        <v>114</v>
      </c>
    </row>
    <row r="27" spans="1:21" x14ac:dyDescent="0.3">
      <c r="A27" s="20"/>
      <c r="B27" s="4"/>
      <c r="C27" s="5"/>
      <c r="D27" s="5"/>
      <c r="E27" s="5"/>
      <c r="I27" s="10"/>
      <c r="J27" s="10"/>
      <c r="Q27" s="30"/>
      <c r="R27" s="10"/>
      <c r="S27" s="13">
        <v>38612.78</v>
      </c>
      <c r="U27" t="s">
        <v>165</v>
      </c>
    </row>
    <row r="28" spans="1:21" x14ac:dyDescent="0.3">
      <c r="A28" s="20"/>
      <c r="B28" s="4"/>
      <c r="C28" s="5"/>
      <c r="D28" s="5"/>
      <c r="E28" s="5"/>
      <c r="I28" s="10"/>
      <c r="J28" s="10"/>
      <c r="Q28" s="30"/>
      <c r="R28" s="10"/>
      <c r="S28" s="10"/>
    </row>
    <row r="29" spans="1:21" x14ac:dyDescent="0.3">
      <c r="A29" s="20"/>
      <c r="B29" s="4"/>
      <c r="C29" s="5"/>
      <c r="D29" s="5"/>
      <c r="E29" s="5"/>
      <c r="I29" s="10"/>
      <c r="J29" s="10"/>
      <c r="Q29" s="30"/>
      <c r="R29" s="10"/>
      <c r="S29" s="10"/>
    </row>
    <row r="30" spans="1:21" x14ac:dyDescent="0.3">
      <c r="A30" s="20" t="s">
        <v>19</v>
      </c>
      <c r="B30" s="5">
        <f>4375</f>
        <v>4375</v>
      </c>
      <c r="C30" s="5">
        <f>3420</f>
        <v>3420</v>
      </c>
      <c r="D30" s="5">
        <f>17695</f>
        <v>17695</v>
      </c>
      <c r="E30" s="5">
        <f t="shared" si="1"/>
        <v>25490</v>
      </c>
      <c r="I30" s="10">
        <f>SUM(J30:J32)</f>
        <v>4275</v>
      </c>
      <c r="J30" s="11">
        <v>1100</v>
      </c>
      <c r="K30">
        <v>1287</v>
      </c>
      <c r="L30" t="s">
        <v>44</v>
      </c>
      <c r="Q30" s="30"/>
      <c r="R30" s="10">
        <f>SUM(S30:S31)</f>
        <v>2950</v>
      </c>
      <c r="S30" s="11">
        <v>1350</v>
      </c>
      <c r="T30">
        <v>1317</v>
      </c>
      <c r="U30" t="s">
        <v>44</v>
      </c>
    </row>
    <row r="31" spans="1:21" x14ac:dyDescent="0.3">
      <c r="A31" s="20"/>
      <c r="B31" s="5"/>
      <c r="C31" s="5"/>
      <c r="D31" s="5"/>
      <c r="E31" s="5"/>
      <c r="I31" s="10"/>
      <c r="J31" s="12">
        <v>200</v>
      </c>
      <c r="K31">
        <v>1300</v>
      </c>
      <c r="L31" t="s">
        <v>44</v>
      </c>
      <c r="Q31" s="30"/>
      <c r="R31" s="10"/>
      <c r="S31" s="13">
        <v>1600</v>
      </c>
      <c r="T31">
        <v>1318</v>
      </c>
      <c r="U31" t="s">
        <v>44</v>
      </c>
    </row>
    <row r="32" spans="1:21" x14ac:dyDescent="0.3">
      <c r="B32" s="4"/>
      <c r="C32" s="5">
        <f>50</f>
        <v>50</v>
      </c>
      <c r="D32" s="4"/>
      <c r="E32" s="5">
        <f t="shared" si="1"/>
        <v>50</v>
      </c>
      <c r="I32" s="10"/>
      <c r="J32" s="13">
        <v>2975</v>
      </c>
      <c r="K32">
        <v>1301</v>
      </c>
      <c r="L32" t="s">
        <v>44</v>
      </c>
      <c r="Q32" s="30"/>
      <c r="R32" s="10"/>
      <c r="S32" s="10"/>
      <c r="U32" t="s">
        <v>54</v>
      </c>
    </row>
    <row r="33" spans="1:21" x14ac:dyDescent="0.3">
      <c r="A33" s="20"/>
      <c r="B33" s="4"/>
      <c r="C33" s="5"/>
      <c r="D33" s="4"/>
      <c r="E33" s="5"/>
      <c r="I33" s="10"/>
      <c r="J33" s="10"/>
      <c r="Q33" s="30"/>
      <c r="R33" s="10"/>
      <c r="S33" s="10"/>
    </row>
    <row r="34" spans="1:21" x14ac:dyDescent="0.3">
      <c r="A34" s="20" t="s">
        <v>20</v>
      </c>
      <c r="B34" s="4"/>
      <c r="C34" s="5"/>
      <c r="D34" s="4"/>
      <c r="E34" s="5"/>
      <c r="I34" s="10" t="s">
        <v>54</v>
      </c>
      <c r="L34" t="s">
        <v>54</v>
      </c>
      <c r="Q34" s="30"/>
      <c r="R34" s="10"/>
      <c r="S34" s="10"/>
    </row>
    <row r="35" spans="1:21" x14ac:dyDescent="0.3">
      <c r="A35" s="20"/>
      <c r="B35" s="4"/>
      <c r="C35" s="5"/>
      <c r="D35" s="4"/>
      <c r="E35" s="5"/>
      <c r="I35" s="10"/>
      <c r="J35" s="10"/>
      <c r="Q35" s="30"/>
      <c r="R35" s="10"/>
      <c r="S35" s="10"/>
    </row>
    <row r="36" spans="1:21" x14ac:dyDescent="0.3">
      <c r="A36" s="20" t="s">
        <v>21</v>
      </c>
      <c r="B36" s="5">
        <f>507.93</f>
        <v>507.93</v>
      </c>
      <c r="C36" s="5">
        <f>447.57</f>
        <v>447.57</v>
      </c>
      <c r="D36" s="5">
        <f>3477.76</f>
        <v>3477.76</v>
      </c>
      <c r="E36" s="5">
        <f t="shared" si="1"/>
        <v>4433.26</v>
      </c>
      <c r="I36" s="10">
        <v>61.25</v>
      </c>
      <c r="J36" s="10" t="s">
        <v>54</v>
      </c>
      <c r="K36">
        <v>1292</v>
      </c>
      <c r="L36" t="s">
        <v>154</v>
      </c>
      <c r="Q36" s="30"/>
      <c r="R36" s="10"/>
      <c r="S36" s="10"/>
      <c r="U36" t="s">
        <v>54</v>
      </c>
    </row>
    <row r="37" spans="1:21" x14ac:dyDescent="0.3">
      <c r="A37" s="20"/>
      <c r="B37" s="5"/>
      <c r="C37" s="5"/>
      <c r="D37" s="5"/>
      <c r="E37" s="5"/>
      <c r="Q37" s="30"/>
      <c r="R37" s="10"/>
      <c r="S37" s="10"/>
    </row>
    <row r="38" spans="1:21" x14ac:dyDescent="0.3">
      <c r="A38" s="20" t="s">
        <v>67</v>
      </c>
      <c r="B38" s="5">
        <f>1080</f>
        <v>1080</v>
      </c>
      <c r="C38" s="5">
        <f>2280</f>
        <v>2280</v>
      </c>
      <c r="D38" s="5">
        <f>4070</f>
        <v>4070</v>
      </c>
      <c r="E38" s="5">
        <f t="shared" si="1"/>
        <v>7430</v>
      </c>
      <c r="I38" s="7">
        <f>SUM(J38:J42)</f>
        <v>2398.59</v>
      </c>
      <c r="J38" s="11">
        <v>454.18</v>
      </c>
      <c r="K38">
        <v>1272</v>
      </c>
      <c r="L38" t="s">
        <v>182</v>
      </c>
      <c r="Q38" s="30"/>
      <c r="R38" s="10">
        <f>SUM(S38:S39)</f>
        <v>875.01</v>
      </c>
      <c r="S38" s="11">
        <v>414.01</v>
      </c>
      <c r="T38">
        <v>1312</v>
      </c>
      <c r="U38" t="s">
        <v>182</v>
      </c>
    </row>
    <row r="39" spans="1:21" x14ac:dyDescent="0.3">
      <c r="A39" s="20"/>
      <c r="B39" s="5"/>
      <c r="C39" s="5"/>
      <c r="D39" s="5"/>
      <c r="E39" s="5"/>
      <c r="J39" s="12">
        <v>550.6</v>
      </c>
      <c r="K39">
        <v>1273</v>
      </c>
      <c r="L39" t="s">
        <v>182</v>
      </c>
      <c r="Q39" s="30"/>
      <c r="R39" s="10"/>
      <c r="S39" s="13">
        <v>461</v>
      </c>
      <c r="T39">
        <v>1333</v>
      </c>
      <c r="U39" t="s">
        <v>182</v>
      </c>
    </row>
    <row r="40" spans="1:21" x14ac:dyDescent="0.3">
      <c r="B40" s="4"/>
      <c r="C40" s="4"/>
      <c r="D40" s="5">
        <f>98.54</f>
        <v>98.54</v>
      </c>
      <c r="E40" s="5">
        <f t="shared" si="1"/>
        <v>98.54</v>
      </c>
      <c r="J40" s="12">
        <v>606.85</v>
      </c>
      <c r="K40">
        <v>1274</v>
      </c>
      <c r="L40" t="s">
        <v>182</v>
      </c>
      <c r="Q40" s="30"/>
      <c r="R40" s="10"/>
      <c r="S40" s="10"/>
    </row>
    <row r="41" spans="1:21" x14ac:dyDescent="0.3">
      <c r="B41" s="4"/>
      <c r="C41" s="4"/>
      <c r="D41" s="5"/>
      <c r="E41" s="5"/>
      <c r="J41" s="12">
        <v>356.89</v>
      </c>
      <c r="K41">
        <v>1302</v>
      </c>
      <c r="L41" t="s">
        <v>182</v>
      </c>
      <c r="Q41" s="30"/>
      <c r="R41" s="10"/>
      <c r="S41" s="10"/>
    </row>
    <row r="42" spans="1:21" x14ac:dyDescent="0.3">
      <c r="A42" s="20"/>
      <c r="B42" s="4"/>
      <c r="C42" s="4"/>
      <c r="D42" s="5"/>
      <c r="E42" s="5"/>
      <c r="J42" s="13">
        <v>430.07</v>
      </c>
      <c r="K42">
        <v>1306</v>
      </c>
      <c r="L42" t="s">
        <v>182</v>
      </c>
      <c r="Q42" s="30"/>
      <c r="R42" s="10"/>
      <c r="S42" s="10"/>
    </row>
    <row r="43" spans="1:21" x14ac:dyDescent="0.3">
      <c r="A43" s="20"/>
      <c r="B43" s="4"/>
      <c r="C43" s="4"/>
      <c r="D43" s="5"/>
      <c r="E43" s="5"/>
      <c r="Q43" s="30"/>
      <c r="R43" s="10"/>
      <c r="S43" s="10"/>
    </row>
    <row r="44" spans="1:21" x14ac:dyDescent="0.3">
      <c r="A44" s="20" t="s">
        <v>121</v>
      </c>
      <c r="B44" s="4"/>
      <c r="C44" s="4"/>
      <c r="D44" s="5"/>
      <c r="E44" s="5"/>
      <c r="I44" s="7">
        <f>SUM(J44:J45)</f>
        <v>248.49</v>
      </c>
      <c r="J44" s="11">
        <v>1.72</v>
      </c>
      <c r="L44" t="s">
        <v>122</v>
      </c>
      <c r="Q44" s="30"/>
      <c r="R44" s="10">
        <v>250</v>
      </c>
      <c r="S44" s="10"/>
      <c r="U44" t="s">
        <v>122</v>
      </c>
    </row>
    <row r="45" spans="1:21" x14ac:dyDescent="0.3">
      <c r="A45" s="20"/>
      <c r="B45" s="4"/>
      <c r="C45" s="4"/>
      <c r="D45" s="5"/>
      <c r="E45" s="5"/>
      <c r="J45" s="13">
        <v>246.77</v>
      </c>
      <c r="L45" t="s">
        <v>122</v>
      </c>
      <c r="Q45" s="30"/>
      <c r="R45" s="10"/>
      <c r="S45" s="10"/>
    </row>
    <row r="46" spans="1:21" x14ac:dyDescent="0.3">
      <c r="A46" s="20"/>
      <c r="B46" s="4"/>
      <c r="C46" s="4"/>
      <c r="D46" s="5"/>
      <c r="E46" s="5"/>
      <c r="Q46" s="30"/>
      <c r="R46" s="10"/>
      <c r="S46" s="10"/>
    </row>
    <row r="47" spans="1:21" x14ac:dyDescent="0.3">
      <c r="A47" s="20" t="s">
        <v>65</v>
      </c>
      <c r="B47" s="6" t="e">
        <f>(#REF!)+(B40)</f>
        <v>#REF!</v>
      </c>
      <c r="C47" s="6" t="e">
        <f>(#REF!)+(C40)</f>
        <v>#REF!</v>
      </c>
      <c r="D47" s="6" t="e">
        <f>(#REF!)+(D40)</f>
        <v>#REF!</v>
      </c>
      <c r="E47" s="6" t="e">
        <f t="shared" si="1"/>
        <v>#REF!</v>
      </c>
      <c r="I47" s="7">
        <f>SUM(J47:J50)</f>
        <v>0</v>
      </c>
      <c r="J47" s="10"/>
      <c r="Q47" s="30"/>
      <c r="R47" s="10">
        <f>SUM(S47:S51)</f>
        <v>6972</v>
      </c>
      <c r="S47" s="11">
        <v>1365</v>
      </c>
      <c r="U47" t="s">
        <v>62</v>
      </c>
    </row>
    <row r="48" spans="1:21" x14ac:dyDescent="0.3">
      <c r="A48" s="20"/>
      <c r="B48" s="8"/>
      <c r="C48" s="8"/>
      <c r="D48" s="8"/>
      <c r="E48" s="8"/>
      <c r="J48" s="10"/>
      <c r="Q48" s="30"/>
      <c r="R48" s="10"/>
      <c r="S48" s="12">
        <v>3217</v>
      </c>
      <c r="U48" t="s">
        <v>62</v>
      </c>
    </row>
    <row r="49" spans="1:21" x14ac:dyDescent="0.3">
      <c r="A49" s="20"/>
      <c r="B49" s="8"/>
      <c r="C49" s="8"/>
      <c r="D49" s="8"/>
      <c r="E49" s="8"/>
      <c r="J49" s="10"/>
      <c r="Q49" s="30"/>
      <c r="R49" s="10"/>
      <c r="S49" s="12">
        <v>390</v>
      </c>
      <c r="U49" t="s">
        <v>62</v>
      </c>
    </row>
    <row r="50" spans="1:21" x14ac:dyDescent="0.3">
      <c r="A50" s="20"/>
      <c r="B50" s="8"/>
      <c r="C50" s="8"/>
      <c r="D50" s="8"/>
      <c r="E50" s="8"/>
      <c r="J50" s="10"/>
      <c r="Q50" s="30"/>
      <c r="R50" s="10"/>
      <c r="S50" s="12">
        <v>1000</v>
      </c>
      <c r="U50" t="s">
        <v>62</v>
      </c>
    </row>
    <row r="51" spans="1:21" x14ac:dyDescent="0.3">
      <c r="A51" s="20"/>
      <c r="B51" s="8"/>
      <c r="C51" s="8"/>
      <c r="D51" s="8"/>
      <c r="E51" s="8"/>
      <c r="J51" s="10"/>
      <c r="Q51" s="30"/>
      <c r="R51" s="10"/>
      <c r="S51" s="13">
        <v>1000</v>
      </c>
      <c r="U51" t="s">
        <v>62</v>
      </c>
    </row>
    <row r="52" spans="1:21" x14ac:dyDescent="0.3">
      <c r="A52" s="20"/>
      <c r="B52" s="8"/>
      <c r="C52" s="8"/>
      <c r="D52" s="8"/>
      <c r="E52" s="8"/>
      <c r="J52" s="10"/>
      <c r="Q52" s="30"/>
      <c r="R52" s="10"/>
      <c r="S52" s="10"/>
    </row>
    <row r="53" spans="1:21" x14ac:dyDescent="0.3">
      <c r="A53" s="20" t="s">
        <v>66</v>
      </c>
      <c r="B53" s="5">
        <f>1190</f>
        <v>1190</v>
      </c>
      <c r="C53" s="5">
        <f>302.5</f>
        <v>302.5</v>
      </c>
      <c r="D53" s="5">
        <f>2435</f>
        <v>2435</v>
      </c>
      <c r="E53" s="5">
        <f t="shared" si="1"/>
        <v>3927.5</v>
      </c>
      <c r="I53" s="7">
        <f>SUM(J53:J54)</f>
        <v>1552.5</v>
      </c>
      <c r="J53" s="10">
        <v>1552.5</v>
      </c>
      <c r="K53">
        <v>1243</v>
      </c>
      <c r="L53" t="s">
        <v>42</v>
      </c>
      <c r="Q53" s="30"/>
      <c r="R53" s="7">
        <v>110</v>
      </c>
      <c r="T53">
        <v>1319</v>
      </c>
      <c r="U53" t="s">
        <v>42</v>
      </c>
    </row>
    <row r="54" spans="1:21" x14ac:dyDescent="0.3">
      <c r="A54" s="20"/>
      <c r="B54" s="5"/>
      <c r="C54" s="5"/>
      <c r="D54" s="5"/>
      <c r="E54" s="5"/>
      <c r="J54" s="10"/>
      <c r="Q54" s="30"/>
      <c r="R54" s="10"/>
      <c r="S54" s="10"/>
    </row>
    <row r="55" spans="1:21" x14ac:dyDescent="0.3">
      <c r="A55" s="3"/>
      <c r="B55" s="5"/>
      <c r="C55" s="5"/>
      <c r="D55" s="5"/>
      <c r="E55" s="5"/>
      <c r="J55" s="10"/>
      <c r="Q55" s="30"/>
      <c r="R55" s="10"/>
      <c r="S55" s="10"/>
    </row>
    <row r="56" spans="1:21" ht="15.6" x14ac:dyDescent="0.3">
      <c r="A56" s="9" t="s">
        <v>77</v>
      </c>
      <c r="B56" s="4"/>
      <c r="C56" s="4"/>
      <c r="D56" s="4"/>
      <c r="E56" s="5">
        <f t="shared" si="1"/>
        <v>0</v>
      </c>
      <c r="J56" s="10"/>
      <c r="Q56" s="30"/>
      <c r="R56" s="10"/>
      <c r="S56" s="10"/>
    </row>
    <row r="57" spans="1:21" x14ac:dyDescent="0.3">
      <c r="A57" s="3"/>
      <c r="B57" s="4"/>
      <c r="C57" s="4"/>
      <c r="D57" s="4"/>
      <c r="E57" s="5"/>
      <c r="J57" s="10"/>
      <c r="Q57" s="30"/>
      <c r="R57" s="10"/>
      <c r="S57" s="10"/>
    </row>
    <row r="58" spans="1:21" x14ac:dyDescent="0.3">
      <c r="A58" s="20" t="s">
        <v>75</v>
      </c>
      <c r="B58" s="4"/>
      <c r="C58" s="5">
        <f>3500</f>
        <v>3500</v>
      </c>
      <c r="D58" s="5">
        <f>3500</f>
        <v>3500</v>
      </c>
      <c r="E58" s="5">
        <f t="shared" si="1"/>
        <v>7000</v>
      </c>
      <c r="J58" s="10"/>
      <c r="L58" t="s">
        <v>54</v>
      </c>
      <c r="Q58" s="30"/>
      <c r="R58" s="10"/>
      <c r="S58" s="10"/>
    </row>
    <row r="59" spans="1:21" x14ac:dyDescent="0.3">
      <c r="A59" s="20"/>
      <c r="B59" s="4"/>
      <c r="C59" s="5"/>
      <c r="D59" s="5"/>
      <c r="E59" s="5"/>
      <c r="J59" s="10"/>
      <c r="Q59" s="30"/>
      <c r="R59" s="10"/>
      <c r="S59" s="10"/>
    </row>
    <row r="60" spans="1:21" x14ac:dyDescent="0.3">
      <c r="A60" s="20" t="s">
        <v>76</v>
      </c>
      <c r="B60" s="5">
        <f>3569</f>
        <v>3569</v>
      </c>
      <c r="C60" s="5">
        <f>22288.72</f>
        <v>22288.720000000001</v>
      </c>
      <c r="D60" s="5">
        <f>20741.82</f>
        <v>20741.82</v>
      </c>
      <c r="E60" s="5">
        <f t="shared" si="1"/>
        <v>46599.54</v>
      </c>
      <c r="I60" s="10">
        <f>SUM(J60:J74)</f>
        <v>42835.26</v>
      </c>
      <c r="J60" s="11">
        <v>1000</v>
      </c>
      <c r="K60">
        <v>1241</v>
      </c>
      <c r="L60" t="s">
        <v>140</v>
      </c>
      <c r="Q60" s="30"/>
      <c r="R60" s="10">
        <f>SUM(S60:S63)</f>
        <v>4880.41</v>
      </c>
      <c r="S60" s="11">
        <v>358</v>
      </c>
      <c r="T60">
        <v>1304</v>
      </c>
      <c r="U60" t="s">
        <v>157</v>
      </c>
    </row>
    <row r="61" spans="1:21" x14ac:dyDescent="0.3">
      <c r="A61" s="20"/>
      <c r="B61" s="5"/>
      <c r="C61" s="5"/>
      <c r="D61" s="5"/>
      <c r="E61" s="5"/>
      <c r="J61" s="12">
        <v>1351.2</v>
      </c>
      <c r="K61">
        <v>1299</v>
      </c>
      <c r="L61" t="s">
        <v>80</v>
      </c>
      <c r="Q61" s="30"/>
      <c r="R61" s="10"/>
      <c r="S61" s="12">
        <v>537</v>
      </c>
      <c r="T61">
        <v>1325</v>
      </c>
      <c r="U61" t="s">
        <v>162</v>
      </c>
    </row>
    <row r="62" spans="1:21" x14ac:dyDescent="0.3">
      <c r="A62" s="20"/>
      <c r="B62" s="5"/>
      <c r="C62" s="5"/>
      <c r="D62" s="5"/>
      <c r="E62" s="5"/>
      <c r="J62" s="12">
        <v>7309.41</v>
      </c>
      <c r="K62">
        <v>1269</v>
      </c>
      <c r="L62" t="s">
        <v>146</v>
      </c>
      <c r="Q62" s="30"/>
      <c r="R62" s="10"/>
      <c r="S62" s="12">
        <v>2939.04</v>
      </c>
      <c r="T62">
        <v>1331</v>
      </c>
      <c r="U62" t="s">
        <v>146</v>
      </c>
    </row>
    <row r="63" spans="1:21" x14ac:dyDescent="0.3">
      <c r="A63" s="21"/>
      <c r="B63" s="5"/>
      <c r="C63" s="5"/>
      <c r="D63" s="5"/>
      <c r="E63" s="5"/>
      <c r="J63" s="12">
        <v>5400</v>
      </c>
      <c r="K63">
        <v>1275</v>
      </c>
      <c r="L63" t="s">
        <v>147</v>
      </c>
      <c r="Q63" s="30"/>
      <c r="R63" s="10"/>
      <c r="S63" s="12">
        <v>1046.3699999999999</v>
      </c>
      <c r="T63">
        <v>1332</v>
      </c>
      <c r="U63" t="s">
        <v>164</v>
      </c>
    </row>
    <row r="64" spans="1:21" x14ac:dyDescent="0.3">
      <c r="A64" s="21"/>
      <c r="B64" s="5"/>
      <c r="C64" s="5"/>
      <c r="D64" s="5"/>
      <c r="E64" s="5"/>
      <c r="J64" s="12">
        <v>8400</v>
      </c>
      <c r="K64">
        <v>1276</v>
      </c>
      <c r="L64" t="s">
        <v>147</v>
      </c>
      <c r="Q64" s="30"/>
      <c r="R64" s="10"/>
      <c r="S64" s="13"/>
      <c r="U64" t="s">
        <v>54</v>
      </c>
    </row>
    <row r="65" spans="1:21" x14ac:dyDescent="0.3">
      <c r="A65" s="21"/>
      <c r="B65" s="5"/>
      <c r="C65" s="5"/>
      <c r="D65" s="5"/>
      <c r="E65" s="5"/>
      <c r="J65" s="12">
        <v>1150</v>
      </c>
      <c r="K65">
        <v>1278</v>
      </c>
      <c r="L65" t="s">
        <v>148</v>
      </c>
      <c r="Q65" s="30"/>
      <c r="R65" s="10"/>
      <c r="S65" s="10"/>
    </row>
    <row r="66" spans="1:21" x14ac:dyDescent="0.3">
      <c r="A66" s="21"/>
      <c r="B66" s="5"/>
      <c r="C66" s="5"/>
      <c r="D66" s="5"/>
      <c r="E66" s="5"/>
      <c r="J66" s="12">
        <v>375</v>
      </c>
      <c r="K66">
        <v>1277</v>
      </c>
      <c r="L66" t="s">
        <v>148</v>
      </c>
      <c r="Q66" s="30"/>
      <c r="R66" s="10"/>
      <c r="S66" s="10"/>
    </row>
    <row r="67" spans="1:21" x14ac:dyDescent="0.3">
      <c r="A67" s="21"/>
      <c r="B67" s="5"/>
      <c r="C67" s="5"/>
      <c r="D67" s="5"/>
      <c r="E67" s="5"/>
      <c r="J67" s="12">
        <v>5675</v>
      </c>
      <c r="K67">
        <v>1286</v>
      </c>
      <c r="L67" t="s">
        <v>149</v>
      </c>
      <c r="Q67" s="30"/>
      <c r="R67" s="10"/>
      <c r="S67" s="10"/>
    </row>
    <row r="68" spans="1:21" x14ac:dyDescent="0.3">
      <c r="A68" s="21"/>
      <c r="B68" s="5"/>
      <c r="C68" s="5"/>
      <c r="D68" s="5"/>
      <c r="E68" s="5"/>
      <c r="J68" s="12">
        <v>7309.4</v>
      </c>
      <c r="K68">
        <v>1295</v>
      </c>
      <c r="L68" t="s">
        <v>146</v>
      </c>
      <c r="Q68" s="30"/>
      <c r="R68" s="10"/>
      <c r="S68" s="10"/>
    </row>
    <row r="69" spans="1:21" x14ac:dyDescent="0.3">
      <c r="A69" s="21"/>
      <c r="B69" s="5"/>
      <c r="C69" s="5"/>
      <c r="D69" s="5"/>
      <c r="E69" s="5"/>
      <c r="J69" s="12">
        <v>742.62</v>
      </c>
      <c r="K69">
        <v>1266</v>
      </c>
      <c r="L69" t="s">
        <v>80</v>
      </c>
      <c r="Q69" s="30"/>
      <c r="R69" s="10"/>
      <c r="S69" s="10"/>
    </row>
    <row r="70" spans="1:21" x14ac:dyDescent="0.3">
      <c r="A70" s="21"/>
      <c r="B70" s="5"/>
      <c r="C70" s="5"/>
      <c r="D70" s="5"/>
      <c r="E70" s="5"/>
      <c r="J70" s="12">
        <v>80.25</v>
      </c>
      <c r="K70">
        <v>1267</v>
      </c>
      <c r="L70" t="s">
        <v>80</v>
      </c>
      <c r="Q70" s="30"/>
      <c r="R70" s="10"/>
      <c r="S70" s="10"/>
    </row>
    <row r="71" spans="1:21" x14ac:dyDescent="0.3">
      <c r="A71" s="21"/>
      <c r="B71" s="5"/>
      <c r="C71" s="5"/>
      <c r="D71" s="5"/>
      <c r="E71" s="5"/>
      <c r="J71" s="12">
        <v>1198</v>
      </c>
      <c r="K71">
        <v>1297</v>
      </c>
      <c r="L71" t="s">
        <v>80</v>
      </c>
      <c r="Q71" s="30"/>
      <c r="R71" s="10"/>
      <c r="S71" s="10"/>
    </row>
    <row r="72" spans="1:21" x14ac:dyDescent="0.3">
      <c r="A72" s="21"/>
      <c r="B72" s="5"/>
      <c r="C72" s="5"/>
      <c r="D72" s="5"/>
      <c r="E72" s="5"/>
      <c r="J72" s="12">
        <v>1351.2</v>
      </c>
      <c r="K72">
        <v>1296</v>
      </c>
      <c r="L72" t="s">
        <v>80</v>
      </c>
      <c r="Q72" s="30"/>
      <c r="R72" s="10"/>
      <c r="S72" s="10"/>
    </row>
    <row r="73" spans="1:21" x14ac:dyDescent="0.3">
      <c r="A73" s="21"/>
      <c r="B73" s="5"/>
      <c r="C73" s="5"/>
      <c r="D73" s="5"/>
      <c r="E73" s="5"/>
      <c r="J73" s="12">
        <v>937.6</v>
      </c>
      <c r="K73">
        <v>1298</v>
      </c>
      <c r="Q73" s="30"/>
      <c r="R73" s="10"/>
      <c r="S73" s="10"/>
    </row>
    <row r="74" spans="1:21" x14ac:dyDescent="0.3">
      <c r="A74" s="21"/>
      <c r="B74" s="5"/>
      <c r="C74" s="5"/>
      <c r="D74" s="5"/>
      <c r="E74" s="5"/>
      <c r="J74" s="13">
        <v>555.58000000000004</v>
      </c>
      <c r="K74">
        <v>1307</v>
      </c>
      <c r="L74" t="s">
        <v>153</v>
      </c>
      <c r="Q74" s="30"/>
      <c r="R74" s="10"/>
      <c r="S74" s="10"/>
    </row>
    <row r="75" spans="1:21" x14ac:dyDescent="0.3">
      <c r="A75" s="21"/>
      <c r="B75" s="5"/>
      <c r="C75" s="5"/>
      <c r="D75" s="5"/>
      <c r="E75" s="5"/>
      <c r="J75" s="10"/>
      <c r="Q75" s="30"/>
      <c r="R75" s="10"/>
      <c r="S75" s="10"/>
    </row>
    <row r="76" spans="1:21" x14ac:dyDescent="0.3">
      <c r="A76" s="20" t="s">
        <v>69</v>
      </c>
      <c r="B76" s="5"/>
      <c r="C76" s="5"/>
      <c r="D76" s="5"/>
      <c r="E76" s="5"/>
      <c r="I76" s="7">
        <f>+J76+J77</f>
        <v>1316.38</v>
      </c>
      <c r="J76" s="11">
        <v>658.19</v>
      </c>
      <c r="K76">
        <v>1230</v>
      </c>
      <c r="L76" s="7" t="s">
        <v>47</v>
      </c>
      <c r="Q76" s="30"/>
      <c r="R76" s="10"/>
      <c r="S76" s="10"/>
      <c r="T76" s="10"/>
    </row>
    <row r="77" spans="1:21" x14ac:dyDescent="0.3">
      <c r="A77" s="20"/>
      <c r="B77" s="5"/>
      <c r="C77" s="5"/>
      <c r="D77" s="5"/>
      <c r="E77" s="5"/>
      <c r="J77" s="13">
        <v>658.19</v>
      </c>
      <c r="K77">
        <v>1259</v>
      </c>
      <c r="L77" s="7" t="s">
        <v>47</v>
      </c>
      <c r="Q77" s="30"/>
      <c r="R77" s="10"/>
      <c r="T77" s="10"/>
      <c r="U77" s="7" t="s">
        <v>54</v>
      </c>
    </row>
    <row r="78" spans="1:21" x14ac:dyDescent="0.3">
      <c r="A78" s="20"/>
      <c r="B78" s="5"/>
      <c r="C78" s="5"/>
      <c r="D78" s="5"/>
      <c r="E78" s="5"/>
      <c r="J78" s="10"/>
      <c r="L78" s="7"/>
      <c r="Q78" s="30"/>
      <c r="R78" s="10"/>
      <c r="S78" s="10"/>
    </row>
    <row r="79" spans="1:21" x14ac:dyDescent="0.3">
      <c r="A79" s="20" t="s">
        <v>70</v>
      </c>
      <c r="B79" s="5"/>
      <c r="C79" s="5"/>
      <c r="D79" s="5"/>
      <c r="E79" s="5"/>
      <c r="I79" s="7">
        <f>SUM(J79:J88)</f>
        <v>6221.0599999999995</v>
      </c>
      <c r="J79" s="11">
        <v>282.48</v>
      </c>
      <c r="K79">
        <v>1231</v>
      </c>
      <c r="L79" t="s">
        <v>50</v>
      </c>
      <c r="Q79" s="30"/>
      <c r="R79" s="10">
        <f>SUM(S79:S80)</f>
        <v>408.84</v>
      </c>
      <c r="S79" s="11">
        <v>310.95</v>
      </c>
      <c r="T79">
        <v>1326</v>
      </c>
      <c r="U79" t="s">
        <v>35</v>
      </c>
    </row>
    <row r="80" spans="1:21" x14ac:dyDescent="0.3">
      <c r="A80" s="20"/>
      <c r="B80" s="5"/>
      <c r="C80" s="5"/>
      <c r="D80" s="5"/>
      <c r="E80" s="5"/>
      <c r="J80" s="12">
        <v>338.12</v>
      </c>
      <c r="K80">
        <v>1232</v>
      </c>
      <c r="L80" t="s">
        <v>50</v>
      </c>
      <c r="Q80" s="30"/>
      <c r="R80" s="10"/>
      <c r="S80" s="12">
        <v>97.89</v>
      </c>
      <c r="T80">
        <v>1330</v>
      </c>
      <c r="U80" t="s">
        <v>163</v>
      </c>
    </row>
    <row r="81" spans="1:21" x14ac:dyDescent="0.3">
      <c r="A81" s="20"/>
      <c r="B81" s="5"/>
      <c r="C81" s="5"/>
      <c r="D81" s="5"/>
      <c r="E81" s="5"/>
      <c r="J81" s="12">
        <v>300</v>
      </c>
      <c r="K81">
        <v>1240</v>
      </c>
      <c r="L81" t="s">
        <v>139</v>
      </c>
      <c r="Q81" s="30"/>
      <c r="R81" s="10"/>
      <c r="S81" s="12"/>
      <c r="U81" t="s">
        <v>54</v>
      </c>
    </row>
    <row r="82" spans="1:21" x14ac:dyDescent="0.3">
      <c r="A82" s="20"/>
      <c r="B82" s="5"/>
      <c r="C82" s="5"/>
      <c r="D82" s="5"/>
      <c r="E82" s="5"/>
      <c r="J82" s="12">
        <v>2147.11</v>
      </c>
      <c r="K82">
        <v>1251</v>
      </c>
      <c r="L82" t="s">
        <v>35</v>
      </c>
      <c r="Q82" s="30"/>
      <c r="R82" s="10"/>
      <c r="S82" s="13"/>
      <c r="U82" t="s">
        <v>54</v>
      </c>
    </row>
    <row r="83" spans="1:21" x14ac:dyDescent="0.3">
      <c r="A83" s="20"/>
      <c r="B83" s="5"/>
      <c r="C83" s="5"/>
      <c r="D83" s="5"/>
      <c r="E83" s="5"/>
      <c r="J83" s="12">
        <v>606.41</v>
      </c>
      <c r="K83">
        <v>1260</v>
      </c>
      <c r="L83" t="s">
        <v>82</v>
      </c>
      <c r="Q83" s="30"/>
      <c r="R83" s="10"/>
      <c r="S83" s="10"/>
    </row>
    <row r="84" spans="1:21" x14ac:dyDescent="0.3">
      <c r="A84" s="20"/>
      <c r="B84" s="5"/>
      <c r="C84" s="5"/>
      <c r="D84" s="5"/>
      <c r="E84" s="5"/>
      <c r="J84" s="12">
        <v>29</v>
      </c>
      <c r="L84" t="s">
        <v>82</v>
      </c>
      <c r="M84" t="s">
        <v>155</v>
      </c>
      <c r="Q84" s="30"/>
      <c r="R84" s="10"/>
      <c r="S84" s="10"/>
    </row>
    <row r="85" spans="1:21" x14ac:dyDescent="0.3">
      <c r="A85" s="20"/>
      <c r="B85" s="5"/>
      <c r="C85" s="5"/>
      <c r="D85" s="5"/>
      <c r="E85" s="5"/>
      <c r="J85" s="12">
        <v>99.7</v>
      </c>
      <c r="K85">
        <v>1264</v>
      </c>
      <c r="L85" t="s">
        <v>144</v>
      </c>
      <c r="Q85" s="30"/>
      <c r="R85" s="10"/>
      <c r="S85" s="10"/>
    </row>
    <row r="86" spans="1:21" x14ac:dyDescent="0.3">
      <c r="A86" s="20"/>
      <c r="B86" s="5"/>
      <c r="C86" s="5"/>
      <c r="D86" s="5"/>
      <c r="E86" s="5"/>
      <c r="J86" s="12">
        <v>1023.72</v>
      </c>
      <c r="K86">
        <v>1268</v>
      </c>
      <c r="L86" t="s">
        <v>113</v>
      </c>
      <c r="Q86" s="30"/>
      <c r="R86" s="10"/>
      <c r="S86" s="10"/>
    </row>
    <row r="87" spans="1:21" x14ac:dyDescent="0.3">
      <c r="A87" s="20"/>
      <c r="B87" s="5"/>
      <c r="C87" s="5"/>
      <c r="D87" s="5"/>
      <c r="E87" s="5"/>
      <c r="J87" s="12">
        <v>1050</v>
      </c>
      <c r="K87">
        <v>1279</v>
      </c>
      <c r="L87" t="s">
        <v>139</v>
      </c>
      <c r="Q87" s="30"/>
      <c r="R87" s="10"/>
      <c r="S87" s="10"/>
    </row>
    <row r="88" spans="1:21" x14ac:dyDescent="0.3">
      <c r="A88" s="20"/>
      <c r="B88" s="5"/>
      <c r="C88" s="5"/>
      <c r="D88" s="5"/>
      <c r="E88" s="5"/>
      <c r="J88" s="13">
        <v>344.52</v>
      </c>
      <c r="K88">
        <v>1302</v>
      </c>
      <c r="L88" t="s">
        <v>152</v>
      </c>
      <c r="Q88" s="30"/>
      <c r="R88" s="10"/>
      <c r="S88" s="10"/>
    </row>
    <row r="89" spans="1:21" x14ac:dyDescent="0.3">
      <c r="A89" s="20"/>
      <c r="B89" s="5"/>
      <c r="C89" s="5"/>
      <c r="D89" s="5"/>
      <c r="E89" s="5"/>
      <c r="J89" s="10"/>
      <c r="Q89" s="30"/>
      <c r="R89" s="10"/>
      <c r="S89" s="10"/>
    </row>
    <row r="90" spans="1:21" x14ac:dyDescent="0.3">
      <c r="A90" s="20"/>
      <c r="B90" s="5"/>
      <c r="C90" s="5"/>
      <c r="D90" s="5"/>
      <c r="E90" s="5"/>
      <c r="J90" s="10"/>
      <c r="Q90" s="30"/>
      <c r="R90" s="10"/>
      <c r="S90" s="10"/>
    </row>
    <row r="91" spans="1:21" x14ac:dyDescent="0.3">
      <c r="A91" s="20" t="s">
        <v>116</v>
      </c>
      <c r="B91" s="5"/>
      <c r="C91" s="5"/>
      <c r="D91" s="5"/>
      <c r="E91" s="5"/>
      <c r="I91" s="7">
        <f>SUM(J91:J93)</f>
        <v>1652</v>
      </c>
      <c r="J91" s="11">
        <v>873</v>
      </c>
      <c r="K91">
        <v>1244</v>
      </c>
      <c r="L91" t="s">
        <v>37</v>
      </c>
      <c r="Q91" s="30"/>
      <c r="R91" s="10">
        <f>SUM(S91:S93)</f>
        <v>1652</v>
      </c>
      <c r="S91" s="11">
        <v>873</v>
      </c>
      <c r="T91">
        <v>1327</v>
      </c>
      <c r="U91" t="s">
        <v>37</v>
      </c>
    </row>
    <row r="92" spans="1:21" x14ac:dyDescent="0.3">
      <c r="A92" s="20"/>
      <c r="B92" s="5"/>
      <c r="C92" s="5"/>
      <c r="D92" s="5"/>
      <c r="E92" s="5"/>
      <c r="J92" s="12">
        <v>309</v>
      </c>
      <c r="K92">
        <v>1270</v>
      </c>
      <c r="L92" t="s">
        <v>37</v>
      </c>
      <c r="Q92" s="30"/>
      <c r="R92" s="10"/>
      <c r="S92" s="12">
        <v>470</v>
      </c>
      <c r="T92">
        <v>1328</v>
      </c>
      <c r="U92" t="s">
        <v>37</v>
      </c>
    </row>
    <row r="93" spans="1:21" x14ac:dyDescent="0.3">
      <c r="A93" s="20"/>
      <c r="B93" s="5"/>
      <c r="C93" s="5"/>
      <c r="D93" s="5"/>
      <c r="E93" s="5"/>
      <c r="J93" s="13">
        <v>470</v>
      </c>
      <c r="K93">
        <v>1271</v>
      </c>
      <c r="L93" t="s">
        <v>37</v>
      </c>
      <c r="Q93" s="30"/>
      <c r="R93" s="10"/>
      <c r="S93" s="12">
        <v>309</v>
      </c>
      <c r="T93">
        <v>1329</v>
      </c>
      <c r="U93" t="s">
        <v>37</v>
      </c>
    </row>
    <row r="94" spans="1:21" x14ac:dyDescent="0.3">
      <c r="A94" s="20"/>
      <c r="B94" s="5"/>
      <c r="C94" s="5"/>
      <c r="D94" s="5"/>
      <c r="E94" s="5"/>
      <c r="J94" s="10"/>
      <c r="Q94" s="30"/>
      <c r="R94" s="10"/>
      <c r="S94" s="13" t="s">
        <v>54</v>
      </c>
    </row>
    <row r="95" spans="1:21" x14ac:dyDescent="0.3">
      <c r="A95" s="20"/>
      <c r="B95" s="5"/>
      <c r="C95" s="5"/>
      <c r="D95" s="5"/>
      <c r="E95" s="5"/>
      <c r="J95" s="10"/>
      <c r="Q95" s="30"/>
      <c r="R95" s="10"/>
      <c r="S95" s="10"/>
    </row>
    <row r="96" spans="1:21" x14ac:dyDescent="0.3">
      <c r="A96" s="20" t="s">
        <v>117</v>
      </c>
      <c r="B96" s="5"/>
      <c r="C96" s="5"/>
      <c r="D96" s="5"/>
      <c r="E96" s="5"/>
      <c r="I96" s="10">
        <v>1571.06</v>
      </c>
      <c r="J96" s="10" t="s">
        <v>54</v>
      </c>
      <c r="K96">
        <v>1242</v>
      </c>
      <c r="L96" t="s">
        <v>40</v>
      </c>
      <c r="Q96" s="30"/>
      <c r="R96" s="10">
        <f>SUM(S96:S98)</f>
        <v>3417.5699999999997</v>
      </c>
      <c r="S96" s="11">
        <v>918.21</v>
      </c>
      <c r="T96">
        <v>1308</v>
      </c>
      <c r="U96" t="s">
        <v>40</v>
      </c>
    </row>
    <row r="97" spans="1:21" x14ac:dyDescent="0.3">
      <c r="A97" s="20"/>
      <c r="B97" s="5"/>
      <c r="C97" s="5"/>
      <c r="D97" s="5"/>
      <c r="E97" s="5"/>
      <c r="I97" s="10"/>
      <c r="J97" s="10"/>
      <c r="Q97" s="30"/>
      <c r="R97" s="10"/>
      <c r="S97" s="12">
        <v>1053.3599999999999</v>
      </c>
      <c r="T97">
        <v>1309</v>
      </c>
      <c r="U97" t="s">
        <v>158</v>
      </c>
    </row>
    <row r="98" spans="1:21" x14ac:dyDescent="0.3">
      <c r="A98" s="20"/>
      <c r="B98" s="5"/>
      <c r="C98" s="5"/>
      <c r="D98" s="5"/>
      <c r="E98" s="5"/>
      <c r="I98" s="10"/>
      <c r="J98" s="10"/>
      <c r="Q98" s="30"/>
      <c r="R98" s="10"/>
      <c r="S98" s="13">
        <v>1446</v>
      </c>
      <c r="T98">
        <v>1320</v>
      </c>
      <c r="U98" t="s">
        <v>40</v>
      </c>
    </row>
    <row r="99" spans="1:21" x14ac:dyDescent="0.3">
      <c r="A99" s="20"/>
      <c r="B99" s="5"/>
      <c r="C99" s="5"/>
      <c r="D99" s="5"/>
      <c r="E99" s="5"/>
      <c r="I99" s="10"/>
      <c r="J99" s="10"/>
      <c r="Q99" s="30"/>
      <c r="R99" s="10"/>
    </row>
    <row r="100" spans="1:21" x14ac:dyDescent="0.3">
      <c r="A100" s="20"/>
      <c r="B100" s="5"/>
      <c r="C100" s="5"/>
      <c r="D100" s="5"/>
      <c r="E100" s="5"/>
      <c r="I100" s="10"/>
      <c r="J100" s="10"/>
      <c r="Q100" s="30"/>
      <c r="R100" s="10"/>
      <c r="S100" s="10"/>
    </row>
    <row r="101" spans="1:21" x14ac:dyDescent="0.3">
      <c r="A101" s="20" t="s">
        <v>118</v>
      </c>
      <c r="B101" s="5">
        <f>4300</f>
        <v>4300</v>
      </c>
      <c r="C101" s="5">
        <f>4382.01</f>
        <v>4382.01</v>
      </c>
      <c r="D101" s="5">
        <f>7400</f>
        <v>7400</v>
      </c>
      <c r="E101" s="5">
        <f>((B101)+(C101))+(D101)</f>
        <v>16082.01</v>
      </c>
      <c r="I101" s="10">
        <f>SUM(J101:J106)</f>
        <v>11000</v>
      </c>
      <c r="J101" s="11">
        <v>2300</v>
      </c>
      <c r="K101">
        <v>1252</v>
      </c>
      <c r="L101" t="s">
        <v>141</v>
      </c>
      <c r="Q101" s="30"/>
      <c r="R101" s="10">
        <f>SUM(S101:S104)</f>
        <v>4250</v>
      </c>
      <c r="S101" s="11">
        <v>3050</v>
      </c>
      <c r="T101">
        <v>1313</v>
      </c>
      <c r="U101" t="s">
        <v>34</v>
      </c>
    </row>
    <row r="102" spans="1:21" x14ac:dyDescent="0.3">
      <c r="A102" s="3"/>
      <c r="B102" s="5"/>
      <c r="C102" s="5"/>
      <c r="D102" s="5"/>
      <c r="E102" s="5"/>
      <c r="I102" s="10"/>
      <c r="J102" s="12">
        <v>500</v>
      </c>
      <c r="K102">
        <v>1254</v>
      </c>
      <c r="L102" t="s">
        <v>141</v>
      </c>
      <c r="Q102" s="30"/>
      <c r="R102" s="10"/>
      <c r="S102" s="12">
        <v>250</v>
      </c>
      <c r="T102">
        <v>1314</v>
      </c>
      <c r="U102" t="s">
        <v>159</v>
      </c>
    </row>
    <row r="103" spans="1:21" x14ac:dyDescent="0.3">
      <c r="A103" s="3"/>
      <c r="B103" s="5"/>
      <c r="C103" s="5"/>
      <c r="D103" s="5"/>
      <c r="E103" s="5"/>
      <c r="I103" s="10"/>
      <c r="J103" s="12">
        <v>1500</v>
      </c>
      <c r="K103">
        <v>1256</v>
      </c>
      <c r="L103" t="s">
        <v>141</v>
      </c>
      <c r="Q103" s="30"/>
      <c r="R103" s="10"/>
      <c r="S103" s="12">
        <v>250</v>
      </c>
      <c r="T103">
        <v>1315</v>
      </c>
      <c r="U103" t="s">
        <v>160</v>
      </c>
    </row>
    <row r="104" spans="1:21" x14ac:dyDescent="0.3">
      <c r="B104" s="5"/>
      <c r="C104" s="5"/>
      <c r="D104" s="5"/>
      <c r="E104" s="5"/>
      <c r="I104" s="10"/>
      <c r="J104" s="12">
        <v>4000</v>
      </c>
      <c r="K104">
        <v>1288</v>
      </c>
      <c r="L104" t="s">
        <v>150</v>
      </c>
      <c r="Q104" s="30"/>
      <c r="R104" s="10"/>
      <c r="S104" s="12">
        <v>700</v>
      </c>
      <c r="T104">
        <v>1316</v>
      </c>
      <c r="U104" t="s">
        <v>34</v>
      </c>
    </row>
    <row r="105" spans="1:21" x14ac:dyDescent="0.3">
      <c r="A105" s="3"/>
      <c r="B105" s="5"/>
      <c r="C105" s="5"/>
      <c r="D105" s="5"/>
      <c r="E105" s="5"/>
      <c r="I105" s="10"/>
      <c r="J105" s="12">
        <v>250</v>
      </c>
      <c r="K105">
        <v>1290</v>
      </c>
      <c r="L105" t="s">
        <v>151</v>
      </c>
      <c r="Q105" s="30"/>
      <c r="R105" s="10"/>
      <c r="S105" s="13" t="s">
        <v>54</v>
      </c>
      <c r="U105" t="s">
        <v>54</v>
      </c>
    </row>
    <row r="106" spans="1:21" x14ac:dyDescent="0.3">
      <c r="A106" s="3"/>
      <c r="B106" s="5"/>
      <c r="C106" s="5"/>
      <c r="D106" s="5"/>
      <c r="E106" s="5"/>
      <c r="I106" s="10"/>
      <c r="J106" s="13">
        <v>2450</v>
      </c>
      <c r="K106">
        <v>1291</v>
      </c>
      <c r="L106" t="s">
        <v>151</v>
      </c>
      <c r="Q106" s="30"/>
      <c r="R106" s="10"/>
      <c r="S106" s="10"/>
    </row>
    <row r="107" spans="1:21" ht="15.6" x14ac:dyDescent="0.3">
      <c r="A107" s="9" t="s">
        <v>24</v>
      </c>
      <c r="B107" s="5"/>
      <c r="C107" s="5"/>
      <c r="D107" s="5"/>
      <c r="E107" s="5"/>
      <c r="I107" s="10"/>
      <c r="J107" s="10"/>
      <c r="Q107" s="30"/>
      <c r="R107" s="10"/>
      <c r="S107" s="10"/>
      <c r="U107" t="s">
        <v>54</v>
      </c>
    </row>
    <row r="108" spans="1:21" ht="15.6" x14ac:dyDescent="0.3">
      <c r="A108" s="9"/>
      <c r="B108" s="5"/>
      <c r="C108" s="5"/>
      <c r="D108" s="5"/>
      <c r="E108" s="5"/>
      <c r="I108" s="10"/>
      <c r="J108" s="10"/>
      <c r="Q108" s="30"/>
      <c r="R108" s="10"/>
      <c r="S108" s="10"/>
      <c r="U108" t="s">
        <v>54</v>
      </c>
    </row>
    <row r="109" spans="1:21" x14ac:dyDescent="0.3">
      <c r="A109" s="3"/>
      <c r="B109" s="5"/>
      <c r="C109" s="5"/>
      <c r="D109" s="5"/>
      <c r="E109" s="5"/>
      <c r="I109" s="10"/>
      <c r="J109" s="10"/>
      <c r="Q109" s="30"/>
      <c r="R109" s="10"/>
      <c r="S109" s="10"/>
    </row>
    <row r="110" spans="1:21" x14ac:dyDescent="0.3">
      <c r="A110" s="20" t="s">
        <v>73</v>
      </c>
      <c r="B110" s="5"/>
      <c r="C110" s="5"/>
      <c r="D110" s="5"/>
      <c r="E110" s="5"/>
      <c r="I110" s="10">
        <f>SUM(J110:J113)</f>
        <v>1398.54</v>
      </c>
      <c r="J110" s="11">
        <v>406.45</v>
      </c>
      <c r="K110">
        <v>1280</v>
      </c>
      <c r="L110" t="s">
        <v>104</v>
      </c>
      <c r="Q110" s="30"/>
      <c r="R110" s="10"/>
      <c r="S110" s="10"/>
      <c r="U110" t="s">
        <v>54</v>
      </c>
    </row>
    <row r="111" spans="1:21" x14ac:dyDescent="0.3">
      <c r="A111" s="20"/>
      <c r="B111" s="5"/>
      <c r="C111" s="5"/>
      <c r="D111" s="5"/>
      <c r="E111" s="5"/>
      <c r="I111" s="10"/>
      <c r="J111" s="12">
        <v>340.39</v>
      </c>
      <c r="K111">
        <v>1281</v>
      </c>
      <c r="L111" t="s">
        <v>104</v>
      </c>
      <c r="Q111" s="30"/>
      <c r="R111" s="10"/>
      <c r="S111" s="10"/>
      <c r="U111" t="s">
        <v>54</v>
      </c>
    </row>
    <row r="112" spans="1:21" x14ac:dyDescent="0.3">
      <c r="A112" s="20"/>
      <c r="B112" s="5"/>
      <c r="C112" s="5"/>
      <c r="D112" s="5"/>
      <c r="E112" s="5"/>
      <c r="I112" s="10"/>
      <c r="J112" s="12">
        <v>408.27</v>
      </c>
      <c r="K112">
        <v>1282</v>
      </c>
      <c r="L112" t="s">
        <v>104</v>
      </c>
      <c r="Q112" s="30"/>
      <c r="R112" s="10"/>
      <c r="S112" s="10"/>
      <c r="U112" t="s">
        <v>54</v>
      </c>
    </row>
    <row r="113" spans="1:21" x14ac:dyDescent="0.3">
      <c r="A113" s="20"/>
      <c r="B113" s="5"/>
      <c r="C113" s="5"/>
      <c r="D113" s="5"/>
      <c r="E113" s="5"/>
      <c r="I113" s="10"/>
      <c r="J113" s="13">
        <v>243.43</v>
      </c>
      <c r="K113">
        <v>1284</v>
      </c>
      <c r="L113" t="s">
        <v>104</v>
      </c>
      <c r="Q113" s="30"/>
      <c r="R113" s="10"/>
      <c r="S113" s="10"/>
      <c r="U113" t="s">
        <v>54</v>
      </c>
    </row>
    <row r="114" spans="1:21" x14ac:dyDescent="0.3">
      <c r="A114" s="20"/>
      <c r="B114" s="5"/>
      <c r="C114" s="5"/>
      <c r="D114" s="5"/>
      <c r="E114" s="5"/>
      <c r="I114" s="10"/>
      <c r="J114" s="10"/>
      <c r="L114" t="s">
        <v>54</v>
      </c>
      <c r="Q114" s="30"/>
      <c r="R114" s="10"/>
      <c r="S114" s="10"/>
    </row>
    <row r="115" spans="1:21" x14ac:dyDescent="0.3">
      <c r="A115" s="20"/>
      <c r="B115" s="5"/>
      <c r="C115" s="5"/>
      <c r="D115" s="5"/>
      <c r="E115" s="5"/>
      <c r="I115" s="10"/>
      <c r="J115" s="10"/>
      <c r="Q115" s="30"/>
      <c r="R115" s="10"/>
      <c r="S115" s="10"/>
    </row>
    <row r="116" spans="1:21" x14ac:dyDescent="0.3">
      <c r="A116" s="20"/>
      <c r="B116" s="5"/>
      <c r="C116" s="5"/>
      <c r="D116" s="5"/>
      <c r="E116" s="5"/>
      <c r="I116" s="10"/>
      <c r="J116" s="10"/>
      <c r="Q116" s="30"/>
      <c r="R116" s="10"/>
      <c r="S116" s="10"/>
    </row>
    <row r="117" spans="1:21" x14ac:dyDescent="0.3">
      <c r="A117" s="20" t="s">
        <v>72</v>
      </c>
      <c r="B117" s="5">
        <f>673.82</f>
        <v>673.82</v>
      </c>
      <c r="C117" s="4"/>
      <c r="D117" s="4"/>
      <c r="E117" s="5">
        <f t="shared" si="1"/>
        <v>673.82</v>
      </c>
      <c r="I117" s="10">
        <f>SUM(J117:J118)</f>
        <v>113.8</v>
      </c>
      <c r="J117" s="11">
        <v>0</v>
      </c>
      <c r="Q117" s="30"/>
      <c r="R117" s="10"/>
      <c r="S117" s="10"/>
    </row>
    <row r="118" spans="1:21" x14ac:dyDescent="0.3">
      <c r="A118" s="20"/>
      <c r="B118" s="5"/>
      <c r="C118" s="4"/>
      <c r="D118" s="4"/>
      <c r="E118" s="5"/>
      <c r="I118" s="10"/>
      <c r="J118" s="13">
        <v>113.8</v>
      </c>
      <c r="K118">
        <v>1265</v>
      </c>
      <c r="L118" t="s">
        <v>145</v>
      </c>
      <c r="Q118" s="30"/>
      <c r="R118" s="10"/>
      <c r="S118" s="10"/>
    </row>
    <row r="119" spans="1:21" x14ac:dyDescent="0.3">
      <c r="A119" s="21"/>
      <c r="B119" s="4"/>
      <c r="C119" s="4"/>
      <c r="D119" s="4"/>
      <c r="E119" s="5">
        <f t="shared" si="1"/>
        <v>0</v>
      </c>
      <c r="I119" s="10"/>
      <c r="J119" s="10"/>
      <c r="Q119" s="30"/>
      <c r="R119" s="10"/>
      <c r="S119" s="10"/>
    </row>
    <row r="120" spans="1:21" x14ac:dyDescent="0.3">
      <c r="A120" s="20" t="s">
        <v>89</v>
      </c>
      <c r="B120" s="4"/>
      <c r="C120" s="4"/>
      <c r="D120" s="4"/>
      <c r="E120" s="5"/>
      <c r="I120" s="10">
        <f>SUM(J120:J123)</f>
        <v>840</v>
      </c>
      <c r="J120" s="11">
        <v>500</v>
      </c>
      <c r="K120">
        <v>1293</v>
      </c>
      <c r="L120" t="s">
        <v>184</v>
      </c>
      <c r="Q120" s="30"/>
      <c r="R120" s="10"/>
      <c r="S120" s="10"/>
    </row>
    <row r="121" spans="1:21" x14ac:dyDescent="0.3">
      <c r="A121" s="21"/>
      <c r="B121" s="4"/>
      <c r="C121" s="4"/>
      <c r="D121" s="4"/>
      <c r="E121" s="5"/>
      <c r="I121" s="10"/>
      <c r="J121" s="13">
        <v>340</v>
      </c>
      <c r="K121">
        <v>1294</v>
      </c>
      <c r="L121" t="s">
        <v>184</v>
      </c>
      <c r="Q121" s="30"/>
      <c r="R121" s="10"/>
      <c r="S121" s="10"/>
    </row>
    <row r="122" spans="1:21" x14ac:dyDescent="0.3">
      <c r="A122" s="21"/>
      <c r="B122" s="4"/>
      <c r="C122" s="4"/>
      <c r="D122" s="4"/>
      <c r="E122" s="5"/>
      <c r="I122" s="10"/>
      <c r="J122" s="10"/>
      <c r="Q122" s="30"/>
      <c r="R122" s="10"/>
      <c r="S122" s="10"/>
    </row>
    <row r="123" spans="1:21" x14ac:dyDescent="0.3">
      <c r="A123" s="21"/>
      <c r="B123" s="4"/>
      <c r="C123" s="4"/>
      <c r="D123" s="4"/>
      <c r="E123" s="5"/>
      <c r="I123" s="10"/>
      <c r="J123" s="10"/>
      <c r="Q123" s="30"/>
      <c r="R123" s="10"/>
      <c r="S123" s="10"/>
    </row>
    <row r="124" spans="1:21" x14ac:dyDescent="0.3">
      <c r="A124" s="21"/>
      <c r="B124" s="4"/>
      <c r="C124" s="4"/>
      <c r="D124" s="4"/>
      <c r="E124" s="5"/>
      <c r="I124" s="10"/>
      <c r="J124" s="10"/>
      <c r="Q124" s="30"/>
      <c r="R124" s="10"/>
      <c r="S124" s="10"/>
    </row>
    <row r="125" spans="1:21" x14ac:dyDescent="0.3">
      <c r="A125" s="20" t="s">
        <v>68</v>
      </c>
      <c r="B125" s="5">
        <f>6025.76</f>
        <v>6025.76</v>
      </c>
      <c r="C125" s="5">
        <f>6435.9</f>
        <v>6435.9</v>
      </c>
      <c r="D125" s="5">
        <f>13141.84</f>
        <v>13141.84</v>
      </c>
      <c r="E125" s="5">
        <f t="shared" si="1"/>
        <v>25603.5</v>
      </c>
      <c r="I125" s="10">
        <f>SUM(J125:J130)</f>
        <v>6597.19</v>
      </c>
      <c r="J125" s="11">
        <v>5824.13</v>
      </c>
      <c r="K125">
        <v>1262</v>
      </c>
      <c r="L125" t="s">
        <v>43</v>
      </c>
      <c r="Q125" s="30"/>
      <c r="R125" s="10"/>
      <c r="S125" s="10"/>
      <c r="U125" t="s">
        <v>54</v>
      </c>
    </row>
    <row r="126" spans="1:21" x14ac:dyDescent="0.3">
      <c r="A126" s="20"/>
      <c r="B126" s="5"/>
      <c r="C126" s="5"/>
      <c r="D126" s="5"/>
      <c r="E126" s="5"/>
      <c r="I126" s="10"/>
      <c r="J126" s="12">
        <v>99.79</v>
      </c>
      <c r="K126">
        <v>1227</v>
      </c>
      <c r="L126" t="s">
        <v>33</v>
      </c>
      <c r="Q126" s="30"/>
      <c r="R126" s="10"/>
      <c r="S126" s="10"/>
      <c r="U126" t="s">
        <v>54</v>
      </c>
    </row>
    <row r="127" spans="1:21" x14ac:dyDescent="0.3">
      <c r="A127" s="20"/>
      <c r="B127" s="5"/>
      <c r="C127" s="5"/>
      <c r="D127" s="5"/>
      <c r="E127" s="5"/>
      <c r="I127" s="10"/>
      <c r="J127" s="12">
        <v>130.4</v>
      </c>
      <c r="K127">
        <v>1234</v>
      </c>
      <c r="L127" t="s">
        <v>33</v>
      </c>
      <c r="Q127" s="30"/>
      <c r="R127" s="10"/>
      <c r="S127" s="10"/>
      <c r="U127" t="s">
        <v>54</v>
      </c>
    </row>
    <row r="128" spans="1:21" x14ac:dyDescent="0.3">
      <c r="A128" s="20"/>
      <c r="B128" s="5"/>
      <c r="C128" s="5"/>
      <c r="D128" s="5"/>
      <c r="E128" s="5"/>
      <c r="I128" s="10"/>
      <c r="J128" s="12">
        <v>72.09</v>
      </c>
      <c r="K128">
        <v>1261</v>
      </c>
      <c r="L128" t="s">
        <v>33</v>
      </c>
      <c r="Q128" s="30"/>
      <c r="R128" s="10"/>
      <c r="S128" s="10"/>
    </row>
    <row r="129" spans="1:22" x14ac:dyDescent="0.3">
      <c r="A129" s="20"/>
      <c r="B129" s="5"/>
      <c r="C129" s="5"/>
      <c r="D129" s="5"/>
      <c r="E129" s="5"/>
      <c r="I129" s="10"/>
      <c r="J129" s="12">
        <v>199.98</v>
      </c>
      <c r="K129">
        <v>1263</v>
      </c>
      <c r="L129" t="s">
        <v>33</v>
      </c>
      <c r="Q129" s="30"/>
      <c r="R129" s="10"/>
      <c r="S129" s="10"/>
    </row>
    <row r="130" spans="1:22" x14ac:dyDescent="0.3">
      <c r="A130" s="3"/>
      <c r="B130" s="5"/>
      <c r="C130" s="5"/>
      <c r="D130" s="5"/>
      <c r="E130" s="5"/>
      <c r="I130" s="10"/>
      <c r="J130" s="13">
        <v>270.8</v>
      </c>
      <c r="K130">
        <v>1285</v>
      </c>
      <c r="L130" t="s">
        <v>33</v>
      </c>
      <c r="Q130" s="30"/>
      <c r="R130" s="10"/>
      <c r="S130" s="10"/>
    </row>
    <row r="131" spans="1:22" x14ac:dyDescent="0.3">
      <c r="A131" s="3"/>
      <c r="B131" s="5"/>
      <c r="C131" s="5"/>
      <c r="D131" s="5"/>
      <c r="E131" s="5"/>
      <c r="I131" s="10"/>
      <c r="J131" s="10"/>
      <c r="Q131" s="30"/>
      <c r="R131" s="10"/>
      <c r="S131" s="10"/>
    </row>
    <row r="132" spans="1:22" ht="15.6" x14ac:dyDescent="0.3">
      <c r="A132" s="9" t="s">
        <v>71</v>
      </c>
      <c r="B132" s="5"/>
      <c r="C132" s="5"/>
      <c r="D132" s="5"/>
      <c r="E132" s="5"/>
      <c r="I132" s="10"/>
      <c r="J132" s="10"/>
      <c r="Q132" s="30"/>
      <c r="R132" s="10"/>
      <c r="S132" s="10"/>
    </row>
    <row r="133" spans="1:22" ht="15.6" x14ac:dyDescent="0.3">
      <c r="A133" s="9"/>
      <c r="B133" s="5"/>
      <c r="C133" s="5"/>
      <c r="D133" s="5"/>
      <c r="E133" s="5"/>
      <c r="I133" s="10"/>
      <c r="J133" s="10"/>
      <c r="Q133" s="30"/>
      <c r="R133" s="10"/>
      <c r="S133" s="10"/>
    </row>
    <row r="134" spans="1:22" x14ac:dyDescent="0.3">
      <c r="A134" s="20" t="s">
        <v>95</v>
      </c>
      <c r="I134" s="7">
        <f>SUM(J134:J135)</f>
        <v>19550.919999999998</v>
      </c>
      <c r="J134" s="10">
        <v>19550.919999999998</v>
      </c>
      <c r="Q134" s="30"/>
      <c r="R134" s="10">
        <f>+S134</f>
        <v>18616.09</v>
      </c>
      <c r="S134" s="11">
        <v>18616.09</v>
      </c>
      <c r="T134">
        <v>1334</v>
      </c>
      <c r="U134" s="24" t="s">
        <v>95</v>
      </c>
      <c r="V134" s="23"/>
    </row>
    <row r="135" spans="1:22" x14ac:dyDescent="0.3">
      <c r="A135" s="20"/>
      <c r="J135" s="10"/>
      <c r="Q135" s="30"/>
      <c r="R135" s="10"/>
      <c r="S135" s="13"/>
      <c r="U135" s="24" t="s">
        <v>54</v>
      </c>
    </row>
    <row r="136" spans="1:22" x14ac:dyDescent="0.3">
      <c r="A136" s="20"/>
      <c r="I136" s="10"/>
      <c r="J136" s="10"/>
      <c r="Q136" s="30"/>
      <c r="R136" s="10"/>
      <c r="S136" s="10"/>
    </row>
    <row r="137" spans="1:22" x14ac:dyDescent="0.3">
      <c r="A137" s="20" t="s">
        <v>98</v>
      </c>
      <c r="I137" s="10">
        <v>400</v>
      </c>
      <c r="K137">
        <v>1257</v>
      </c>
      <c r="L137" t="s">
        <v>142</v>
      </c>
      <c r="Q137" s="30"/>
      <c r="R137" s="10"/>
      <c r="S137" s="10"/>
    </row>
    <row r="138" spans="1:22" x14ac:dyDescent="0.3">
      <c r="A138" s="20"/>
      <c r="I138" s="10">
        <v>400</v>
      </c>
      <c r="K138">
        <v>1258</v>
      </c>
      <c r="L138" t="s">
        <v>143</v>
      </c>
      <c r="Q138" s="30"/>
      <c r="R138" s="10"/>
      <c r="S138" s="10"/>
    </row>
    <row r="139" spans="1:22" x14ac:dyDescent="0.3">
      <c r="A139" s="20"/>
      <c r="I139" s="10"/>
      <c r="J139" s="10"/>
      <c r="Q139" s="30"/>
      <c r="R139" s="10"/>
      <c r="S139" s="10"/>
    </row>
    <row r="140" spans="1:22" x14ac:dyDescent="0.3">
      <c r="A140" s="20" t="s">
        <v>102</v>
      </c>
      <c r="I140" s="10">
        <v>0</v>
      </c>
      <c r="L140" t="s">
        <v>54</v>
      </c>
      <c r="Q140" s="30"/>
      <c r="R140" s="10"/>
      <c r="S140" s="10"/>
    </row>
    <row r="141" spans="1:22" x14ac:dyDescent="0.3">
      <c r="A141" s="21"/>
      <c r="I141" s="10"/>
      <c r="J141" s="10"/>
      <c r="Q141" s="30"/>
      <c r="R141" s="10"/>
      <c r="S141" s="10"/>
    </row>
    <row r="142" spans="1:22" x14ac:dyDescent="0.3">
      <c r="A142" s="20"/>
      <c r="B142" s="5"/>
      <c r="C142" s="5"/>
      <c r="D142" s="5"/>
      <c r="E142" s="5"/>
      <c r="I142" s="10"/>
      <c r="J142" s="10"/>
      <c r="Q142" s="30"/>
      <c r="R142" s="10"/>
      <c r="S142" s="10"/>
    </row>
    <row r="143" spans="1:22" ht="17.25" customHeight="1" x14ac:dyDescent="0.3">
      <c r="A143" s="20" t="s">
        <v>57</v>
      </c>
      <c r="B143" s="5"/>
      <c r="C143" s="5"/>
      <c r="D143" s="5"/>
      <c r="E143" s="5"/>
      <c r="I143" s="10">
        <v>0</v>
      </c>
      <c r="L143" t="s">
        <v>54</v>
      </c>
      <c r="Q143" s="30"/>
      <c r="S143" s="10"/>
    </row>
    <row r="144" spans="1:22" x14ac:dyDescent="0.3">
      <c r="A144" s="20"/>
      <c r="B144" s="5"/>
      <c r="C144" s="5"/>
      <c r="D144" s="5"/>
      <c r="E144" s="5"/>
      <c r="I144" s="10"/>
      <c r="J144" s="10"/>
      <c r="Q144" s="30"/>
      <c r="R144" s="10"/>
      <c r="S144" s="10"/>
      <c r="U144" t="s">
        <v>54</v>
      </c>
    </row>
    <row r="145" spans="1:19" x14ac:dyDescent="0.3">
      <c r="A145" s="20"/>
      <c r="B145" s="5"/>
      <c r="C145" s="5"/>
      <c r="D145" s="5"/>
      <c r="E145" s="5"/>
      <c r="I145" s="10"/>
      <c r="J145" s="10"/>
      <c r="Q145" s="30"/>
      <c r="R145" s="10"/>
      <c r="S145" s="10"/>
    </row>
    <row r="146" spans="1:19" x14ac:dyDescent="0.3">
      <c r="A146" s="20"/>
      <c r="B146" s="5"/>
      <c r="C146" s="5"/>
      <c r="D146" s="5"/>
      <c r="E146" s="5"/>
      <c r="I146" s="10"/>
      <c r="J146" s="10"/>
      <c r="Q146" s="30"/>
      <c r="R146" s="10"/>
      <c r="S146" s="10"/>
    </row>
    <row r="147" spans="1:19" x14ac:dyDescent="0.3">
      <c r="A147" s="20"/>
      <c r="B147" s="5"/>
      <c r="C147" s="5"/>
      <c r="D147" s="5"/>
      <c r="E147" s="5"/>
      <c r="I147" s="10"/>
      <c r="J147" s="10"/>
      <c r="Q147" s="30"/>
      <c r="R147" s="10"/>
      <c r="S147" s="10"/>
    </row>
    <row r="148" spans="1:19" x14ac:dyDescent="0.3">
      <c r="A148" s="20"/>
      <c r="B148" s="5"/>
      <c r="C148" s="5"/>
      <c r="D148" s="5"/>
      <c r="E148" s="5"/>
      <c r="I148" s="10"/>
      <c r="J148" s="10"/>
      <c r="Q148" s="30"/>
      <c r="R148" s="10"/>
      <c r="S148" s="10"/>
    </row>
    <row r="149" spans="1:19" x14ac:dyDescent="0.3">
      <c r="A149" s="3"/>
      <c r="B149" s="5"/>
      <c r="C149" s="5"/>
      <c r="D149" s="5"/>
      <c r="E149" s="5"/>
      <c r="I149" s="10"/>
      <c r="J149" s="10"/>
      <c r="Q149" s="30"/>
      <c r="R149" s="10"/>
      <c r="S149" s="10"/>
    </row>
    <row r="150" spans="1:19" x14ac:dyDescent="0.3">
      <c r="A150" s="3"/>
      <c r="B150" s="5"/>
      <c r="C150" s="5"/>
      <c r="D150" s="5"/>
      <c r="E150" s="5"/>
      <c r="I150" s="10"/>
      <c r="J150" s="10"/>
      <c r="Q150" s="30"/>
    </row>
    <row r="151" spans="1:19" x14ac:dyDescent="0.3">
      <c r="A151" s="3"/>
      <c r="B151" s="5"/>
      <c r="C151" s="5"/>
      <c r="D151" s="5"/>
      <c r="E151" s="5"/>
      <c r="J151" s="10"/>
      <c r="Q151" s="30"/>
    </row>
    <row r="152" spans="1:19" ht="15" thickBot="1" x14ac:dyDescent="0.35">
      <c r="A152" s="18"/>
      <c r="B152" s="5"/>
      <c r="C152" s="5"/>
      <c r="D152" s="5"/>
      <c r="E152" s="5"/>
      <c r="I152" s="15"/>
      <c r="J152" s="10"/>
      <c r="Q152" s="30"/>
      <c r="R152" s="15"/>
    </row>
    <row r="153" spans="1:19" ht="15" thickBot="1" x14ac:dyDescent="0.35">
      <c r="A153" s="3"/>
      <c r="B153" s="5"/>
      <c r="C153" s="5"/>
      <c r="D153" s="5"/>
      <c r="E153" s="5"/>
      <c r="J153" s="10"/>
      <c r="L153" s="14" t="s">
        <v>54</v>
      </c>
      <c r="Q153" s="30"/>
    </row>
    <row r="154" spans="1:19" ht="16.2" thickBot="1" x14ac:dyDescent="0.35">
      <c r="A154" s="9" t="s">
        <v>78</v>
      </c>
      <c r="B154" s="5"/>
      <c r="C154" s="5"/>
      <c r="D154" s="5"/>
      <c r="E154" s="5"/>
      <c r="I154" s="22">
        <f>SUM(I29:I151)</f>
        <v>102432.04</v>
      </c>
      <c r="J154" s="10"/>
      <c r="L154" t="s">
        <v>54</v>
      </c>
      <c r="Q154" s="30"/>
      <c r="R154" s="19">
        <f>SUM(R23:R152)</f>
        <v>85078.9</v>
      </c>
      <c r="S154" s="7" t="s">
        <v>54</v>
      </c>
    </row>
    <row r="155" spans="1:19" x14ac:dyDescent="0.3">
      <c r="A155" s="3"/>
      <c r="B155" s="5"/>
      <c r="C155" s="5"/>
      <c r="D155" s="5"/>
      <c r="E155" s="5"/>
      <c r="L155" s="14" t="s">
        <v>54</v>
      </c>
      <c r="Q155" s="30"/>
    </row>
    <row r="156" spans="1:19" x14ac:dyDescent="0.3">
      <c r="Q156" s="30"/>
    </row>
    <row r="157" spans="1:19" x14ac:dyDescent="0.3">
      <c r="A157" s="3"/>
      <c r="B157" s="5"/>
      <c r="C157" s="5"/>
      <c r="D157" s="5"/>
      <c r="E157" s="5"/>
      <c r="Q157" s="30"/>
    </row>
    <row r="158" spans="1:19" x14ac:dyDescent="0.3">
      <c r="A158" s="3"/>
      <c r="B158" s="5"/>
      <c r="C158" s="5"/>
      <c r="D158" s="5"/>
      <c r="E158" s="5"/>
      <c r="Q158" s="30"/>
    </row>
    <row r="159" spans="1:19" ht="15.6" x14ac:dyDescent="0.3">
      <c r="A159" s="9" t="s">
        <v>125</v>
      </c>
      <c r="B159" s="5"/>
      <c r="C159" s="5"/>
      <c r="D159" s="5"/>
      <c r="E159" s="5"/>
      <c r="I159" s="7">
        <v>3400</v>
      </c>
      <c r="J159" s="7" t="s">
        <v>127</v>
      </c>
      <c r="Q159" s="30"/>
      <c r="R159" s="7">
        <v>30000</v>
      </c>
      <c r="S159" s="7" t="s">
        <v>126</v>
      </c>
    </row>
    <row r="160" spans="1:19" x14ac:dyDescent="0.3">
      <c r="A160" s="3"/>
      <c r="B160" s="5"/>
      <c r="C160" s="5"/>
      <c r="D160" s="5"/>
      <c r="E160" s="5"/>
      <c r="I160" s="7">
        <v>3400</v>
      </c>
      <c r="J160" s="7" t="s">
        <v>127</v>
      </c>
      <c r="Q160" s="30"/>
      <c r="R160" s="7">
        <v>3400</v>
      </c>
      <c r="S160" s="7" t="s">
        <v>127</v>
      </c>
    </row>
    <row r="161" spans="1:18" x14ac:dyDescent="0.3">
      <c r="A161" s="3"/>
      <c r="B161" s="5"/>
      <c r="C161" s="5"/>
      <c r="D161" s="5"/>
      <c r="E161" s="5"/>
      <c r="I161" s="7">
        <v>78000</v>
      </c>
      <c r="J161" s="7" t="s">
        <v>126</v>
      </c>
      <c r="Q161" s="30"/>
    </row>
    <row r="162" spans="1:18" x14ac:dyDescent="0.3">
      <c r="A162" s="3"/>
      <c r="B162" s="5"/>
      <c r="C162" s="5"/>
      <c r="D162" s="5"/>
      <c r="E162" s="5"/>
      <c r="Q162" s="30"/>
      <c r="R162" s="7">
        <f>SUM(R154:R160)</f>
        <v>118478.9</v>
      </c>
    </row>
    <row r="163" spans="1:18" x14ac:dyDescent="0.3">
      <c r="A163" s="3"/>
      <c r="B163" s="5"/>
      <c r="C163" s="5"/>
      <c r="D163" s="5"/>
      <c r="E163" s="5"/>
      <c r="I163" s="7">
        <f>SUM(I154:I162)</f>
        <v>187232.03999999998</v>
      </c>
      <c r="Q163" s="30"/>
    </row>
    <row r="164" spans="1:18" x14ac:dyDescent="0.3">
      <c r="A164" s="3"/>
      <c r="B164" s="5"/>
      <c r="C164" s="5"/>
      <c r="D164" s="5"/>
      <c r="E164" s="5"/>
      <c r="Q164" s="30"/>
    </row>
    <row r="165" spans="1:18" x14ac:dyDescent="0.3">
      <c r="Q165" s="30"/>
    </row>
    <row r="166" spans="1:18" x14ac:dyDescent="0.3">
      <c r="Q166" s="30"/>
    </row>
    <row r="167" spans="1:18" x14ac:dyDescent="0.3">
      <c r="Q167" s="30"/>
    </row>
    <row r="168" spans="1:18" x14ac:dyDescent="0.3">
      <c r="Q168" s="30"/>
    </row>
    <row r="169" spans="1:18" x14ac:dyDescent="0.3">
      <c r="Q169" s="30"/>
    </row>
    <row r="170" spans="1:18" x14ac:dyDescent="0.3">
      <c r="Q170" s="30"/>
    </row>
  </sheetData>
  <mergeCells count="5">
    <mergeCell ref="A1:E1"/>
    <mergeCell ref="A2:E2"/>
    <mergeCell ref="A3:E3"/>
    <mergeCell ref="I5:J5"/>
    <mergeCell ref="R5:S5"/>
  </mergeCells>
  <pageMargins left="0.2" right="0.2" top="0.25" bottom="0.25" header="0.3" footer="0.3"/>
  <pageSetup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BE87-C819-479D-9968-A76B311BA3ED}">
  <dimension ref="A1:AD146"/>
  <sheetViews>
    <sheetView topLeftCell="J119" workbookViewId="0">
      <selection activeCell="W43" sqref="W43"/>
    </sheetView>
  </sheetViews>
  <sheetFormatPr defaultRowHeight="14.4" x14ac:dyDescent="0.3"/>
  <cols>
    <col min="1" max="1" width="48.6640625" customWidth="1"/>
    <col min="2" max="4" width="11.109375" hidden="1" customWidth="1"/>
    <col min="5" max="5" width="12" hidden="1" customWidth="1"/>
    <col min="6" max="8" width="8.88671875" hidden="1" customWidth="1"/>
    <col min="9" max="9" width="12.6640625" style="7" customWidth="1"/>
    <col min="10" max="10" width="11.5546875" style="7" customWidth="1"/>
    <col min="11" max="11" width="8.88671875" customWidth="1"/>
    <col min="12" max="12" width="10.5546875" customWidth="1"/>
    <col min="13" max="17" width="8.88671875" customWidth="1"/>
    <col min="18" max="18" width="16" style="7" customWidth="1"/>
    <col min="19" max="19" width="12.5546875" style="7" bestFit="1" customWidth="1"/>
  </cols>
  <sheetData>
    <row r="1" spans="1:30" ht="17.399999999999999" x14ac:dyDescent="0.3">
      <c r="A1" s="66" t="s">
        <v>26</v>
      </c>
      <c r="B1" s="63"/>
      <c r="C1" s="63"/>
      <c r="D1" s="63"/>
      <c r="E1" s="63"/>
      <c r="Q1" s="30"/>
    </row>
    <row r="2" spans="1:30" ht="17.399999999999999" x14ac:dyDescent="0.3">
      <c r="A2" s="66" t="s">
        <v>27</v>
      </c>
      <c r="B2" s="63"/>
      <c r="C2" s="63"/>
      <c r="D2" s="63"/>
      <c r="E2" s="63"/>
      <c r="Q2" s="30"/>
    </row>
    <row r="3" spans="1:30" x14ac:dyDescent="0.3">
      <c r="A3" s="62" t="s">
        <v>54</v>
      </c>
      <c r="B3" s="63"/>
      <c r="C3" s="63"/>
      <c r="D3" s="63"/>
      <c r="E3" s="63"/>
      <c r="Q3" s="30"/>
    </row>
    <row r="4" spans="1:30" x14ac:dyDescent="0.3">
      <c r="Q4" s="30"/>
    </row>
    <row r="5" spans="1:30" ht="15.6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  <c r="I5" s="64" t="s">
        <v>101</v>
      </c>
      <c r="J5" s="64"/>
      <c r="Q5" s="30"/>
      <c r="R5" s="64" t="s">
        <v>128</v>
      </c>
      <c r="S5" s="64"/>
      <c r="AD5" s="17" t="s">
        <v>100</v>
      </c>
    </row>
    <row r="6" spans="1:30" ht="15.6" x14ac:dyDescent="0.3">
      <c r="A6" s="9" t="s">
        <v>4</v>
      </c>
      <c r="B6" s="4"/>
      <c r="C6" s="4"/>
      <c r="D6" s="4"/>
      <c r="E6" s="4"/>
      <c r="I6" s="29" t="s">
        <v>3</v>
      </c>
      <c r="J6" s="29" t="s">
        <v>166</v>
      </c>
      <c r="Q6" s="30"/>
      <c r="R6" s="29" t="s">
        <v>3</v>
      </c>
      <c r="S6" s="29" t="s">
        <v>166</v>
      </c>
    </row>
    <row r="7" spans="1:30" x14ac:dyDescent="0.3">
      <c r="A7" s="20" t="s">
        <v>5</v>
      </c>
      <c r="B7" s="5">
        <f>250</f>
        <v>250</v>
      </c>
      <c r="C7" s="4"/>
      <c r="D7" s="4"/>
      <c r="E7" s="5">
        <f t="shared" ref="E7:E17" si="0">((B7)+(C7))+(D7)</f>
        <v>250</v>
      </c>
      <c r="Q7" s="30"/>
    </row>
    <row r="8" spans="1:30" x14ac:dyDescent="0.3">
      <c r="A8" s="20" t="s">
        <v>6</v>
      </c>
      <c r="B8" s="5">
        <f>150</f>
        <v>150</v>
      </c>
      <c r="C8" s="5">
        <f>50</f>
        <v>50</v>
      </c>
      <c r="D8" s="5">
        <f>270</f>
        <v>270</v>
      </c>
      <c r="E8" s="5">
        <f t="shared" si="0"/>
        <v>470</v>
      </c>
      <c r="Q8" s="30"/>
    </row>
    <row r="9" spans="1:30" x14ac:dyDescent="0.3">
      <c r="A9" s="20" t="s">
        <v>7</v>
      </c>
      <c r="B9" s="5">
        <f>73579.86</f>
        <v>73579.86</v>
      </c>
      <c r="C9" s="5">
        <f>79094</f>
        <v>79094</v>
      </c>
      <c r="D9" s="5">
        <f>80307.8</f>
        <v>80307.8</v>
      </c>
      <c r="E9" s="5">
        <f t="shared" si="0"/>
        <v>232981.65999999997</v>
      </c>
      <c r="Q9" s="30"/>
    </row>
    <row r="10" spans="1:30" x14ac:dyDescent="0.3">
      <c r="A10" s="20" t="s">
        <v>8</v>
      </c>
      <c r="B10" s="5">
        <f>16163.94</f>
        <v>16163.94</v>
      </c>
      <c r="C10" s="5">
        <f>5019.2</f>
        <v>5019.2</v>
      </c>
      <c r="D10" s="5">
        <f>3567.8</f>
        <v>3567.8</v>
      </c>
      <c r="E10" s="5">
        <f t="shared" si="0"/>
        <v>24750.94</v>
      </c>
      <c r="Q10" s="30"/>
    </row>
    <row r="11" spans="1:30" x14ac:dyDescent="0.3">
      <c r="A11" s="20" t="s">
        <v>9</v>
      </c>
      <c r="B11" s="4"/>
      <c r="C11" s="4"/>
      <c r="D11" s="5">
        <f>185.41</f>
        <v>185.41</v>
      </c>
      <c r="E11" s="5">
        <f t="shared" si="0"/>
        <v>185.41</v>
      </c>
      <c r="Q11" s="30"/>
    </row>
    <row r="12" spans="1:30" x14ac:dyDescent="0.3">
      <c r="A12" s="20" t="s">
        <v>10</v>
      </c>
      <c r="B12" s="5">
        <f>360</f>
        <v>360</v>
      </c>
      <c r="C12" s="4"/>
      <c r="D12" s="5">
        <f>360</f>
        <v>360</v>
      </c>
      <c r="E12" s="5">
        <f t="shared" si="0"/>
        <v>720</v>
      </c>
      <c r="Q12" s="30"/>
    </row>
    <row r="13" spans="1:30" x14ac:dyDescent="0.3">
      <c r="A13" s="20" t="s">
        <v>11</v>
      </c>
      <c r="B13" s="4"/>
      <c r="C13" s="5">
        <f>250</f>
        <v>250</v>
      </c>
      <c r="D13" s="4"/>
      <c r="E13" s="5">
        <f t="shared" si="0"/>
        <v>250</v>
      </c>
      <c r="Q13" s="30"/>
    </row>
    <row r="14" spans="1:30" x14ac:dyDescent="0.3">
      <c r="A14" s="20" t="s">
        <v>12</v>
      </c>
      <c r="B14" s="4"/>
      <c r="C14" s="4"/>
      <c r="D14" s="5">
        <f>1457638.78</f>
        <v>1457638.78</v>
      </c>
      <c r="E14" s="5">
        <f t="shared" si="0"/>
        <v>1457638.78</v>
      </c>
      <c r="Q14" s="30"/>
    </row>
    <row r="15" spans="1:30" x14ac:dyDescent="0.3">
      <c r="A15" s="20" t="s">
        <v>13</v>
      </c>
      <c r="B15" s="5">
        <f>21368.6</f>
        <v>21368.6</v>
      </c>
      <c r="C15" s="5">
        <f>578825.05</f>
        <v>578825.05000000005</v>
      </c>
      <c r="D15" s="5">
        <f>-619806.94</f>
        <v>-619806.93999999994</v>
      </c>
      <c r="E15" s="5">
        <f t="shared" si="0"/>
        <v>-19613.289999999921</v>
      </c>
      <c r="Q15" s="30"/>
    </row>
    <row r="16" spans="1:30" x14ac:dyDescent="0.3">
      <c r="A16" s="20" t="s">
        <v>14</v>
      </c>
      <c r="B16" s="6">
        <f>((((((((B7)+(B8))+(B9))+(B10))+(B11))+(B12))+(B13))+(B14))+(B15)</f>
        <v>111872.4</v>
      </c>
      <c r="C16" s="6">
        <f>((((((((C7)+(C8))+(C9))+(C10))+(C11))+(C12))+(C13))+(C14))+(C15)</f>
        <v>663238.25</v>
      </c>
      <c r="D16" s="6">
        <f>((((((((D7)+(D8))+(D9))+(D10))+(D11))+(D12))+(D13))+(D14))+(D15)</f>
        <v>922522.85000000009</v>
      </c>
      <c r="E16" s="6">
        <f t="shared" si="0"/>
        <v>1697633.5</v>
      </c>
      <c r="Q16" s="30"/>
    </row>
    <row r="17" spans="1:21" x14ac:dyDescent="0.3">
      <c r="A17" s="3" t="s">
        <v>54</v>
      </c>
      <c r="B17" s="6">
        <f>(B16)-(0)</f>
        <v>111872.4</v>
      </c>
      <c r="C17" s="6">
        <f>(C16)-(0)</f>
        <v>663238.25</v>
      </c>
      <c r="D17" s="6">
        <f>(D16)-(0)</f>
        <v>922522.85000000009</v>
      </c>
      <c r="E17" s="6">
        <f t="shared" si="0"/>
        <v>1697633.5</v>
      </c>
      <c r="Q17" s="30"/>
    </row>
    <row r="18" spans="1:21" x14ac:dyDescent="0.3">
      <c r="A18" s="3"/>
      <c r="B18" s="8"/>
      <c r="C18" s="8"/>
      <c r="D18" s="8"/>
      <c r="E18" s="8"/>
      <c r="Q18" s="30"/>
    </row>
    <row r="19" spans="1:21" ht="15.6" x14ac:dyDescent="0.3">
      <c r="A19" s="9" t="s">
        <v>15</v>
      </c>
      <c r="B19" s="4"/>
      <c r="C19" s="4"/>
      <c r="D19" s="4"/>
      <c r="E19" s="4"/>
      <c r="Q19" s="30"/>
    </row>
    <row r="20" spans="1:21" ht="15.6" x14ac:dyDescent="0.3">
      <c r="A20" s="9"/>
      <c r="B20" s="4"/>
      <c r="C20" s="4"/>
      <c r="D20" s="4"/>
      <c r="E20" s="4"/>
      <c r="Q20" s="30"/>
    </row>
    <row r="21" spans="1:21" x14ac:dyDescent="0.3">
      <c r="A21" s="20" t="s">
        <v>16</v>
      </c>
      <c r="B21" s="5">
        <f>91.5</f>
        <v>91.5</v>
      </c>
      <c r="C21" s="4"/>
      <c r="D21" s="5">
        <f>45.75</f>
        <v>45.75</v>
      </c>
      <c r="E21" s="5">
        <f t="shared" ref="E21:E108" si="1">((B21)+(C21))+(D21)</f>
        <v>137.25</v>
      </c>
      <c r="Q21" s="30"/>
    </row>
    <row r="22" spans="1:21" x14ac:dyDescent="0.3">
      <c r="A22" s="20" t="s">
        <v>17</v>
      </c>
      <c r="B22" s="5">
        <f>330</f>
        <v>330</v>
      </c>
      <c r="C22" s="4"/>
      <c r="D22" s="4"/>
      <c r="E22" s="5">
        <f t="shared" si="1"/>
        <v>330</v>
      </c>
      <c r="I22" s="7">
        <v>332.75</v>
      </c>
      <c r="L22" t="s">
        <v>123</v>
      </c>
      <c r="Q22" s="30"/>
      <c r="R22" s="10"/>
      <c r="S22" s="10"/>
    </row>
    <row r="23" spans="1:21" x14ac:dyDescent="0.3">
      <c r="A23" s="20"/>
      <c r="B23" s="5"/>
      <c r="C23" s="4"/>
      <c r="D23" s="4"/>
      <c r="E23" s="5"/>
      <c r="Q23" s="30"/>
      <c r="R23" s="10"/>
      <c r="S23" s="10"/>
    </row>
    <row r="24" spans="1:21" x14ac:dyDescent="0.3">
      <c r="A24" s="20" t="s">
        <v>18</v>
      </c>
      <c r="B24" s="4"/>
      <c r="C24" s="5">
        <f>38612.78</f>
        <v>38612.78</v>
      </c>
      <c r="D24" s="5">
        <f>77225.56</f>
        <v>77225.56</v>
      </c>
      <c r="E24" s="5">
        <f t="shared" si="1"/>
        <v>115838.34</v>
      </c>
      <c r="I24" s="10">
        <v>553</v>
      </c>
      <c r="L24" t="s">
        <v>114</v>
      </c>
      <c r="Q24" s="30"/>
      <c r="R24" s="10">
        <f>+S24+S25</f>
        <v>77225.56</v>
      </c>
      <c r="S24" s="11">
        <v>38612.78</v>
      </c>
      <c r="U24" t="s">
        <v>30</v>
      </c>
    </row>
    <row r="25" spans="1:21" x14ac:dyDescent="0.3">
      <c r="A25" s="20"/>
      <c r="B25" s="4"/>
      <c r="C25" s="5"/>
      <c r="D25" s="5"/>
      <c r="E25" s="5"/>
      <c r="I25" s="10"/>
      <c r="J25" s="10"/>
      <c r="Q25" s="30"/>
      <c r="R25" s="10"/>
      <c r="S25" s="13">
        <v>38612.78</v>
      </c>
      <c r="U25" t="s">
        <v>30</v>
      </c>
    </row>
    <row r="26" spans="1:21" x14ac:dyDescent="0.3">
      <c r="A26" s="20"/>
      <c r="B26" s="4"/>
      <c r="C26" s="5"/>
      <c r="D26" s="5"/>
      <c r="E26" s="5"/>
      <c r="I26" s="10"/>
      <c r="J26" s="10"/>
      <c r="Q26" s="30"/>
      <c r="R26" s="10"/>
      <c r="S26" s="10"/>
    </row>
    <row r="27" spans="1:21" x14ac:dyDescent="0.3">
      <c r="A27" s="20"/>
      <c r="B27" s="4"/>
      <c r="C27" s="5"/>
      <c r="D27" s="5"/>
      <c r="E27" s="5"/>
      <c r="I27" s="10"/>
      <c r="J27" s="10"/>
      <c r="Q27" s="30"/>
      <c r="R27" s="10"/>
      <c r="S27" s="10"/>
    </row>
    <row r="28" spans="1:21" x14ac:dyDescent="0.3">
      <c r="A28" s="20" t="s">
        <v>19</v>
      </c>
      <c r="B28" s="5">
        <f>4375</f>
        <v>4375</v>
      </c>
      <c r="C28" s="5">
        <f>3420</f>
        <v>3420</v>
      </c>
      <c r="D28" s="5">
        <f>17695</f>
        <v>17695</v>
      </c>
      <c r="E28" s="5">
        <f t="shared" si="1"/>
        <v>25490</v>
      </c>
      <c r="I28" s="10">
        <f>SUM(J28:J31)</f>
        <v>10815</v>
      </c>
      <c r="J28" s="11">
        <v>1500</v>
      </c>
      <c r="L28" s="25" t="s">
        <v>44</v>
      </c>
      <c r="Q28" s="30"/>
      <c r="R28" s="10">
        <f>SUM(S28:S31)</f>
        <v>12675</v>
      </c>
      <c r="S28" s="11">
        <v>5250</v>
      </c>
      <c r="U28" t="s">
        <v>44</v>
      </c>
    </row>
    <row r="29" spans="1:21" x14ac:dyDescent="0.3">
      <c r="A29" s="20"/>
      <c r="B29" s="5"/>
      <c r="C29" s="5"/>
      <c r="D29" s="5"/>
      <c r="E29" s="5"/>
      <c r="I29" s="10"/>
      <c r="J29" s="12">
        <v>1350</v>
      </c>
      <c r="L29" s="26" t="s">
        <v>44</v>
      </c>
      <c r="Q29" s="30"/>
      <c r="R29" s="10"/>
      <c r="S29" s="12">
        <v>1350</v>
      </c>
      <c r="U29" t="s">
        <v>44</v>
      </c>
    </row>
    <row r="30" spans="1:21" x14ac:dyDescent="0.3">
      <c r="B30" s="4"/>
      <c r="C30" s="5">
        <f>50</f>
        <v>50</v>
      </c>
      <c r="D30" s="4"/>
      <c r="E30" s="5">
        <f t="shared" si="1"/>
        <v>50</v>
      </c>
      <c r="I30" s="10"/>
      <c r="J30" s="12">
        <v>2675</v>
      </c>
      <c r="L30" s="26" t="s">
        <v>44</v>
      </c>
      <c r="Q30" s="30"/>
      <c r="R30" s="10"/>
      <c r="S30" s="12">
        <v>4725</v>
      </c>
      <c r="U30" t="s">
        <v>44</v>
      </c>
    </row>
    <row r="31" spans="1:21" x14ac:dyDescent="0.3">
      <c r="A31" s="20"/>
      <c r="B31" s="4"/>
      <c r="C31" s="5"/>
      <c r="D31" s="4"/>
      <c r="E31" s="5"/>
      <c r="I31" s="10"/>
      <c r="J31" s="13">
        <v>5290</v>
      </c>
      <c r="L31" s="27" t="s">
        <v>44</v>
      </c>
      <c r="Q31" s="30"/>
      <c r="R31" s="10"/>
      <c r="S31" s="12">
        <v>1350</v>
      </c>
      <c r="U31" t="s">
        <v>44</v>
      </c>
    </row>
    <row r="32" spans="1:21" x14ac:dyDescent="0.3">
      <c r="A32" s="20"/>
      <c r="B32" s="4"/>
      <c r="C32" s="5"/>
      <c r="D32" s="4"/>
      <c r="E32" s="5"/>
      <c r="I32" s="10"/>
      <c r="J32" s="10"/>
      <c r="Q32" s="30"/>
      <c r="R32" s="10"/>
      <c r="S32" s="13">
        <f>SUM(S28:S31)</f>
        <v>12675</v>
      </c>
    </row>
    <row r="33" spans="1:21" x14ac:dyDescent="0.3">
      <c r="A33" s="20" t="s">
        <v>20</v>
      </c>
      <c r="B33" s="4"/>
      <c r="C33" s="5"/>
      <c r="D33" s="4"/>
      <c r="E33" s="5"/>
      <c r="I33" s="10">
        <v>500</v>
      </c>
      <c r="L33" t="s">
        <v>109</v>
      </c>
      <c r="Q33" s="30"/>
      <c r="R33" s="10"/>
      <c r="S33" s="10"/>
    </row>
    <row r="34" spans="1:21" x14ac:dyDescent="0.3">
      <c r="A34" s="20"/>
      <c r="B34" s="4"/>
      <c r="C34" s="5"/>
      <c r="D34" s="4"/>
      <c r="E34" s="5"/>
      <c r="I34" s="10"/>
      <c r="J34" s="10"/>
      <c r="Q34" s="30"/>
      <c r="R34" s="10"/>
      <c r="S34" s="10"/>
    </row>
    <row r="35" spans="1:21" x14ac:dyDescent="0.3">
      <c r="A35" s="20"/>
      <c r="B35" s="4"/>
      <c r="C35" s="5"/>
      <c r="D35" s="4"/>
      <c r="E35" s="5"/>
      <c r="I35" s="10"/>
      <c r="J35" s="10"/>
      <c r="Q35" s="30"/>
      <c r="R35" s="10"/>
      <c r="S35" s="10"/>
    </row>
    <row r="36" spans="1:21" x14ac:dyDescent="0.3">
      <c r="A36" s="20" t="s">
        <v>21</v>
      </c>
      <c r="B36" s="5">
        <f>507.93</f>
        <v>507.93</v>
      </c>
      <c r="C36" s="5">
        <f>447.57</f>
        <v>447.57</v>
      </c>
      <c r="D36" s="5">
        <f>3477.76</f>
        <v>3477.76</v>
      </c>
      <c r="E36" s="5">
        <f t="shared" si="1"/>
        <v>4433.26</v>
      </c>
      <c r="I36" s="10">
        <f>SUM(J36:J39)</f>
        <v>1661.86</v>
      </c>
      <c r="J36" s="11">
        <v>116.61</v>
      </c>
      <c r="L36" t="s">
        <v>110</v>
      </c>
      <c r="Q36" s="30"/>
      <c r="R36" s="10">
        <f>+S36+S37</f>
        <v>242.76999999999998</v>
      </c>
      <c r="S36" s="11">
        <v>99.39</v>
      </c>
      <c r="U36" t="s">
        <v>110</v>
      </c>
    </row>
    <row r="37" spans="1:21" x14ac:dyDescent="0.3">
      <c r="A37" s="20"/>
      <c r="B37" s="5"/>
      <c r="C37" s="5"/>
      <c r="D37" s="5"/>
      <c r="E37" s="5"/>
      <c r="I37" s="10"/>
      <c r="J37" s="12">
        <v>712.06</v>
      </c>
      <c r="L37" t="s">
        <v>112</v>
      </c>
      <c r="Q37" s="30"/>
      <c r="R37" s="10"/>
      <c r="S37" s="13">
        <v>143.38</v>
      </c>
      <c r="U37" t="s">
        <v>119</v>
      </c>
    </row>
    <row r="38" spans="1:21" x14ac:dyDescent="0.3">
      <c r="A38" s="20"/>
      <c r="B38" s="5"/>
      <c r="C38" s="5"/>
      <c r="D38" s="5"/>
      <c r="E38" s="5"/>
      <c r="I38" s="10"/>
      <c r="J38" s="12">
        <v>484.92</v>
      </c>
      <c r="L38" t="s">
        <v>119</v>
      </c>
      <c r="Q38" s="30"/>
      <c r="R38" s="10"/>
      <c r="S38" s="10"/>
    </row>
    <row r="39" spans="1:21" x14ac:dyDescent="0.3">
      <c r="A39" s="20"/>
      <c r="B39" s="5"/>
      <c r="C39" s="5"/>
      <c r="D39" s="5"/>
      <c r="E39" s="5"/>
      <c r="J39" s="13">
        <v>348.27</v>
      </c>
      <c r="L39" t="s">
        <v>56</v>
      </c>
      <c r="Q39" s="30"/>
      <c r="R39" s="10"/>
      <c r="S39" s="10"/>
    </row>
    <row r="40" spans="1:21" x14ac:dyDescent="0.3">
      <c r="A40" s="20"/>
      <c r="B40" s="5"/>
      <c r="C40" s="5"/>
      <c r="D40" s="5"/>
      <c r="E40" s="5"/>
      <c r="Q40" s="30"/>
      <c r="R40" s="10"/>
      <c r="S40" s="10"/>
    </row>
    <row r="41" spans="1:21" x14ac:dyDescent="0.3">
      <c r="A41" s="20" t="s">
        <v>67</v>
      </c>
      <c r="B41" s="5">
        <f>1080</f>
        <v>1080</v>
      </c>
      <c r="C41" s="5">
        <f>2280</f>
        <v>2280</v>
      </c>
      <c r="D41" s="5">
        <f>4070</f>
        <v>4070</v>
      </c>
      <c r="E41" s="5">
        <f t="shared" si="1"/>
        <v>7430</v>
      </c>
      <c r="I41" s="7">
        <f>SUM(J41:J44)</f>
        <v>3946</v>
      </c>
      <c r="J41" s="11">
        <v>1200</v>
      </c>
      <c r="L41" t="s">
        <v>185</v>
      </c>
      <c r="Q41" s="30"/>
      <c r="R41" s="10">
        <f>+S41+S42</f>
        <v>1085.1300000000001</v>
      </c>
      <c r="S41" s="11">
        <v>526.5</v>
      </c>
      <c r="U41" t="s">
        <v>187</v>
      </c>
    </row>
    <row r="42" spans="1:21" x14ac:dyDescent="0.3">
      <c r="A42" s="20"/>
      <c r="B42" s="5"/>
      <c r="C42" s="5"/>
      <c r="D42" s="5"/>
      <c r="E42" s="5"/>
      <c r="J42" s="12">
        <v>1460</v>
      </c>
      <c r="L42" t="s">
        <v>186</v>
      </c>
      <c r="Q42" s="30"/>
      <c r="R42" s="10"/>
      <c r="S42" s="13">
        <v>558.63</v>
      </c>
      <c r="U42" t="s">
        <v>187</v>
      </c>
    </row>
    <row r="43" spans="1:21" x14ac:dyDescent="0.3">
      <c r="B43" s="4"/>
      <c r="C43" s="4"/>
      <c r="D43" s="5">
        <f>98.54</f>
        <v>98.54</v>
      </c>
      <c r="E43" s="5">
        <f t="shared" si="1"/>
        <v>98.54</v>
      </c>
      <c r="J43" s="12">
        <v>574.70000000000005</v>
      </c>
      <c r="L43" t="s">
        <v>187</v>
      </c>
      <c r="Q43" s="30"/>
      <c r="R43" s="10"/>
      <c r="S43" s="10"/>
    </row>
    <row r="44" spans="1:21" x14ac:dyDescent="0.3">
      <c r="A44" s="20"/>
      <c r="B44" s="4"/>
      <c r="C44" s="4"/>
      <c r="D44" s="5"/>
      <c r="E44" s="5"/>
      <c r="J44" s="13">
        <v>711.3</v>
      </c>
      <c r="L44" t="s">
        <v>187</v>
      </c>
      <c r="Q44" s="30"/>
      <c r="R44" s="10"/>
      <c r="S44" s="10"/>
    </row>
    <row r="45" spans="1:21" x14ac:dyDescent="0.3">
      <c r="A45" s="20"/>
      <c r="B45" s="4"/>
      <c r="C45" s="4"/>
      <c r="D45" s="5"/>
      <c r="E45" s="5"/>
      <c r="Q45" s="30"/>
      <c r="R45" s="10"/>
      <c r="S45" s="10"/>
    </row>
    <row r="46" spans="1:21" x14ac:dyDescent="0.3">
      <c r="A46" s="20" t="s">
        <v>121</v>
      </c>
      <c r="B46" s="4"/>
      <c r="C46" s="4"/>
      <c r="D46" s="5"/>
      <c r="E46" s="5"/>
      <c r="I46" s="7">
        <v>100</v>
      </c>
      <c r="L46" t="s">
        <v>122</v>
      </c>
      <c r="Q46" s="30"/>
      <c r="R46" s="10">
        <v>100</v>
      </c>
      <c r="S46" s="10"/>
      <c r="U46" t="s">
        <v>122</v>
      </c>
    </row>
    <row r="47" spans="1:21" x14ac:dyDescent="0.3">
      <c r="A47" s="20"/>
      <c r="B47" s="4"/>
      <c r="C47" s="4"/>
      <c r="D47" s="5"/>
      <c r="E47" s="5"/>
      <c r="Q47" s="30"/>
      <c r="R47" s="10"/>
      <c r="S47" s="10"/>
    </row>
    <row r="48" spans="1:21" x14ac:dyDescent="0.3">
      <c r="A48" s="20"/>
      <c r="B48" s="4"/>
      <c r="C48" s="4"/>
      <c r="D48" s="5"/>
      <c r="E48" s="5"/>
      <c r="Q48" s="30"/>
      <c r="R48" s="10"/>
      <c r="S48" s="10"/>
    </row>
    <row r="49" spans="1:21" x14ac:dyDescent="0.3">
      <c r="A49" s="20" t="s">
        <v>65</v>
      </c>
      <c r="B49" s="6" t="e">
        <f>(#REF!)+(B43)</f>
        <v>#REF!</v>
      </c>
      <c r="C49" s="6" t="e">
        <f>(#REF!)+(C43)</f>
        <v>#REF!</v>
      </c>
      <c r="D49" s="6" t="e">
        <f>(#REF!)+(D43)</f>
        <v>#REF!</v>
      </c>
      <c r="E49" s="6" t="e">
        <f t="shared" si="1"/>
        <v>#REF!</v>
      </c>
      <c r="I49" s="7">
        <f>SUM(J49:J52)</f>
        <v>2762.5</v>
      </c>
      <c r="J49" s="11">
        <v>520</v>
      </c>
      <c r="L49" t="s">
        <v>62</v>
      </c>
      <c r="Q49" s="30"/>
      <c r="R49" s="10">
        <v>1511.25</v>
      </c>
      <c r="U49" t="s">
        <v>62</v>
      </c>
    </row>
    <row r="50" spans="1:21" x14ac:dyDescent="0.3">
      <c r="A50" s="20"/>
      <c r="B50" s="8"/>
      <c r="C50" s="8"/>
      <c r="D50" s="8"/>
      <c r="E50" s="8"/>
      <c r="J50" s="12">
        <v>471.25</v>
      </c>
      <c r="L50" t="s">
        <v>62</v>
      </c>
      <c r="Q50" s="30"/>
      <c r="R50" s="10"/>
      <c r="S50" s="10"/>
    </row>
    <row r="51" spans="1:21" x14ac:dyDescent="0.3">
      <c r="A51" s="20"/>
      <c r="B51" s="8"/>
      <c r="C51" s="8"/>
      <c r="D51" s="8"/>
      <c r="E51" s="8"/>
      <c r="J51" s="12">
        <v>975</v>
      </c>
      <c r="L51" t="s">
        <v>62</v>
      </c>
      <c r="Q51" s="30"/>
      <c r="R51" s="10"/>
      <c r="S51" s="10"/>
    </row>
    <row r="52" spans="1:21" x14ac:dyDescent="0.3">
      <c r="A52" s="20"/>
      <c r="B52" s="8"/>
      <c r="C52" s="8"/>
      <c r="D52" s="8"/>
      <c r="E52" s="8"/>
      <c r="J52" s="13">
        <v>796.25</v>
      </c>
      <c r="L52" t="s">
        <v>62</v>
      </c>
      <c r="Q52" s="30"/>
      <c r="R52" s="10"/>
      <c r="S52" s="10"/>
    </row>
    <row r="53" spans="1:21" x14ac:dyDescent="0.3">
      <c r="A53" s="20"/>
      <c r="B53" s="8"/>
      <c r="C53" s="8"/>
      <c r="D53" s="8"/>
      <c r="E53" s="8"/>
      <c r="Q53" s="30"/>
      <c r="R53" s="10"/>
      <c r="S53" s="10"/>
    </row>
    <row r="54" spans="1:21" x14ac:dyDescent="0.3">
      <c r="A54" s="20" t="s">
        <v>66</v>
      </c>
      <c r="B54" s="5">
        <f>1190</f>
        <v>1190</v>
      </c>
      <c r="C54" s="5">
        <f>302.5</f>
        <v>302.5</v>
      </c>
      <c r="D54" s="5">
        <f>2435</f>
        <v>2435</v>
      </c>
      <c r="E54" s="5">
        <f t="shared" si="1"/>
        <v>3927.5</v>
      </c>
      <c r="I54" s="7">
        <f>SUM(J54:J55)</f>
        <v>2435</v>
      </c>
      <c r="J54" s="11">
        <v>2242.5</v>
      </c>
      <c r="L54" t="s">
        <v>42</v>
      </c>
      <c r="Q54" s="30"/>
      <c r="R54" s="10">
        <v>330</v>
      </c>
      <c r="U54" t="s">
        <v>42</v>
      </c>
    </row>
    <row r="55" spans="1:21" x14ac:dyDescent="0.3">
      <c r="A55" s="20"/>
      <c r="B55" s="5"/>
      <c r="C55" s="5"/>
      <c r="D55" s="5"/>
      <c r="E55" s="5"/>
      <c r="J55" s="13">
        <v>192.5</v>
      </c>
      <c r="L55" t="s">
        <v>42</v>
      </c>
      <c r="Q55" s="30"/>
      <c r="R55" s="10"/>
      <c r="S55" s="10"/>
    </row>
    <row r="56" spans="1:21" x14ac:dyDescent="0.3">
      <c r="A56" s="3"/>
      <c r="B56" s="5"/>
      <c r="C56" s="5"/>
      <c r="D56" s="5"/>
      <c r="E56" s="5"/>
      <c r="Q56" s="30"/>
      <c r="R56" s="10"/>
      <c r="S56" s="10"/>
    </row>
    <row r="57" spans="1:21" ht="15.6" x14ac:dyDescent="0.3">
      <c r="A57" s="9" t="s">
        <v>77</v>
      </c>
      <c r="B57" s="4"/>
      <c r="C57" s="4"/>
      <c r="D57" s="4"/>
      <c r="E57" s="5">
        <f t="shared" si="1"/>
        <v>0</v>
      </c>
      <c r="Q57" s="30"/>
      <c r="R57" s="10"/>
      <c r="S57" s="10"/>
    </row>
    <row r="58" spans="1:21" x14ac:dyDescent="0.3">
      <c r="A58" s="3"/>
      <c r="B58" s="4"/>
      <c r="C58" s="4"/>
      <c r="D58" s="4"/>
      <c r="E58" s="5"/>
      <c r="J58" s="10"/>
      <c r="Q58" s="30"/>
      <c r="R58" s="10"/>
      <c r="S58" s="10"/>
    </row>
    <row r="59" spans="1:21" x14ac:dyDescent="0.3">
      <c r="A59" s="20" t="s">
        <v>75</v>
      </c>
      <c r="B59" s="4"/>
      <c r="C59" s="5">
        <f>3500</f>
        <v>3500</v>
      </c>
      <c r="D59" s="5">
        <f>3500</f>
        <v>3500</v>
      </c>
      <c r="E59" s="5">
        <f t="shared" si="1"/>
        <v>7000</v>
      </c>
      <c r="J59" s="10"/>
      <c r="L59" t="s">
        <v>54</v>
      </c>
      <c r="Q59" s="30"/>
      <c r="R59" s="10"/>
      <c r="S59" s="10"/>
    </row>
    <row r="60" spans="1:21" x14ac:dyDescent="0.3">
      <c r="A60" s="20"/>
      <c r="B60" s="4"/>
      <c r="C60" s="5"/>
      <c r="D60" s="5"/>
      <c r="E60" s="5"/>
      <c r="J60" s="10"/>
      <c r="Q60" s="30"/>
      <c r="R60" s="10"/>
      <c r="S60" s="10"/>
    </row>
    <row r="61" spans="1:21" x14ac:dyDescent="0.3">
      <c r="A61" s="20" t="s">
        <v>76</v>
      </c>
      <c r="B61" s="5">
        <f>3569</f>
        <v>3569</v>
      </c>
      <c r="C61" s="5">
        <f>22288.72</f>
        <v>22288.720000000001</v>
      </c>
      <c r="D61" s="5">
        <f>20741.82</f>
        <v>20741.82</v>
      </c>
      <c r="E61" s="5">
        <f t="shared" si="1"/>
        <v>46599.54</v>
      </c>
      <c r="I61" s="10">
        <f>SUM(J61:J64)</f>
        <v>746.19</v>
      </c>
      <c r="J61" s="11">
        <v>150</v>
      </c>
      <c r="L61" t="s">
        <v>105</v>
      </c>
      <c r="Q61" s="30"/>
      <c r="R61" s="10">
        <f>SUM(S61:S66)</f>
        <v>9547.91</v>
      </c>
      <c r="S61" s="11">
        <v>236.21</v>
      </c>
      <c r="U61" t="s">
        <v>80</v>
      </c>
    </row>
    <row r="62" spans="1:21" x14ac:dyDescent="0.3">
      <c r="A62" s="20"/>
      <c r="B62" s="5"/>
      <c r="C62" s="5"/>
      <c r="D62" s="5"/>
      <c r="E62" s="5"/>
      <c r="J62" s="12">
        <v>500</v>
      </c>
      <c r="L62" t="s">
        <v>111</v>
      </c>
      <c r="Q62" s="30"/>
      <c r="R62" s="10"/>
      <c r="S62" s="12">
        <v>692.23</v>
      </c>
      <c r="U62" t="s">
        <v>80</v>
      </c>
    </row>
    <row r="63" spans="1:21" x14ac:dyDescent="0.3">
      <c r="A63" s="20"/>
      <c r="B63" s="5"/>
      <c r="C63" s="5"/>
      <c r="D63" s="5"/>
      <c r="E63" s="5"/>
      <c r="Q63" s="30"/>
      <c r="R63" s="10"/>
      <c r="S63" s="12">
        <v>317.47000000000003</v>
      </c>
      <c r="U63" t="s">
        <v>80</v>
      </c>
    </row>
    <row r="64" spans="1:21" x14ac:dyDescent="0.3">
      <c r="A64" s="20"/>
      <c r="B64" s="5"/>
      <c r="C64" s="5"/>
      <c r="D64" s="5"/>
      <c r="E64" s="5"/>
      <c r="J64" s="13">
        <v>96.19</v>
      </c>
      <c r="L64" t="s">
        <v>115</v>
      </c>
      <c r="Q64" s="30"/>
      <c r="R64" s="10"/>
      <c r="S64" s="12">
        <v>6000</v>
      </c>
      <c r="U64" t="s">
        <v>131</v>
      </c>
    </row>
    <row r="65" spans="1:21" x14ac:dyDescent="0.3">
      <c r="A65" s="21"/>
      <c r="B65" s="5"/>
      <c r="C65" s="5"/>
      <c r="D65" s="5"/>
      <c r="E65" s="5"/>
      <c r="J65" s="10"/>
      <c r="Q65" s="30"/>
      <c r="R65" s="10"/>
      <c r="S65" s="12">
        <v>646</v>
      </c>
      <c r="U65" t="s">
        <v>133</v>
      </c>
    </row>
    <row r="66" spans="1:21" x14ac:dyDescent="0.3">
      <c r="A66" s="21"/>
      <c r="B66" s="5"/>
      <c r="C66" s="5"/>
      <c r="D66" s="5"/>
      <c r="E66" s="5"/>
      <c r="J66" s="10"/>
      <c r="Q66" s="30"/>
      <c r="R66" s="10"/>
      <c r="S66" s="13">
        <v>1656</v>
      </c>
      <c r="U66" t="s">
        <v>134</v>
      </c>
    </row>
    <row r="67" spans="1:21" x14ac:dyDescent="0.3">
      <c r="A67" s="21"/>
      <c r="B67" s="5"/>
      <c r="C67" s="5"/>
      <c r="D67" s="5"/>
      <c r="E67" s="5"/>
      <c r="J67" s="10"/>
      <c r="Q67" s="30"/>
      <c r="R67" s="10"/>
      <c r="S67" s="10"/>
    </row>
    <row r="68" spans="1:21" x14ac:dyDescent="0.3">
      <c r="A68" s="20" t="s">
        <v>69</v>
      </c>
      <c r="B68" s="5"/>
      <c r="C68" s="5"/>
      <c r="D68" s="5"/>
      <c r="E68" s="5"/>
      <c r="I68" s="7">
        <f>+J68+J69</f>
        <v>984.83</v>
      </c>
      <c r="J68" s="11">
        <v>326.64</v>
      </c>
      <c r="L68" s="7" t="s">
        <v>106</v>
      </c>
      <c r="Q68" s="30"/>
      <c r="R68" s="10"/>
      <c r="S68" s="10"/>
      <c r="T68" s="10"/>
    </row>
    <row r="69" spans="1:21" x14ac:dyDescent="0.3">
      <c r="A69" s="20"/>
      <c r="B69" s="5"/>
      <c r="C69" s="5"/>
      <c r="D69" s="5"/>
      <c r="E69" s="5"/>
      <c r="J69" s="13">
        <v>658.19</v>
      </c>
      <c r="L69" s="7" t="s">
        <v>47</v>
      </c>
      <c r="Q69" s="30"/>
      <c r="R69" s="10">
        <v>658.18</v>
      </c>
      <c r="T69" s="10"/>
      <c r="U69" s="7" t="s">
        <v>47</v>
      </c>
    </row>
    <row r="70" spans="1:21" x14ac:dyDescent="0.3">
      <c r="A70" s="20"/>
      <c r="B70" s="5"/>
      <c r="C70" s="5"/>
      <c r="D70" s="5"/>
      <c r="E70" s="5"/>
      <c r="J70" s="10"/>
      <c r="L70" s="7"/>
      <c r="Q70" s="30"/>
      <c r="R70" s="10"/>
      <c r="S70" s="10"/>
    </row>
    <row r="71" spans="1:21" x14ac:dyDescent="0.3">
      <c r="A71" s="20" t="s">
        <v>70</v>
      </c>
      <c r="B71" s="5"/>
      <c r="C71" s="5"/>
      <c r="D71" s="5"/>
      <c r="E71" s="5"/>
      <c r="I71" s="7">
        <f>SUM(J71:J76)</f>
        <v>4164.08</v>
      </c>
      <c r="J71" s="11">
        <v>110</v>
      </c>
      <c r="L71" t="s">
        <v>107</v>
      </c>
      <c r="Q71" s="30"/>
      <c r="R71" s="10">
        <f>SUM(S71:S74)</f>
        <v>2071.48</v>
      </c>
      <c r="S71" s="11">
        <v>284.74</v>
      </c>
      <c r="U71" t="s">
        <v>129</v>
      </c>
    </row>
    <row r="72" spans="1:21" x14ac:dyDescent="0.3">
      <c r="A72" s="20"/>
      <c r="B72" s="5"/>
      <c r="C72" s="5"/>
      <c r="D72" s="5"/>
      <c r="E72" s="5"/>
      <c r="J72" s="12">
        <v>1698</v>
      </c>
      <c r="L72" t="s">
        <v>113</v>
      </c>
      <c r="Q72" s="30"/>
      <c r="R72" s="10"/>
      <c r="S72" s="12">
        <v>21.3</v>
      </c>
      <c r="U72" t="s">
        <v>130</v>
      </c>
    </row>
    <row r="73" spans="1:21" x14ac:dyDescent="0.3">
      <c r="A73" s="20"/>
      <c r="B73" s="5"/>
      <c r="C73" s="5"/>
      <c r="D73" s="5"/>
      <c r="E73" s="5"/>
      <c r="J73" s="12">
        <v>602.88</v>
      </c>
      <c r="L73" t="s">
        <v>82</v>
      </c>
      <c r="Q73" s="30"/>
      <c r="R73" s="10"/>
      <c r="S73" s="12">
        <v>1553.76</v>
      </c>
      <c r="U73" t="s">
        <v>113</v>
      </c>
    </row>
    <row r="74" spans="1:21" x14ac:dyDescent="0.3">
      <c r="A74" s="20"/>
      <c r="B74" s="5"/>
      <c r="C74" s="5"/>
      <c r="D74" s="5"/>
      <c r="E74" s="5"/>
      <c r="J74" s="12">
        <v>393.12</v>
      </c>
      <c r="L74" t="s">
        <v>108</v>
      </c>
      <c r="Q74" s="30"/>
      <c r="R74" s="10"/>
      <c r="S74" s="13">
        <v>211.68</v>
      </c>
      <c r="U74" t="s">
        <v>113</v>
      </c>
    </row>
    <row r="75" spans="1:21" x14ac:dyDescent="0.3">
      <c r="A75" s="20"/>
      <c r="B75" s="5"/>
      <c r="C75" s="5"/>
      <c r="D75" s="5"/>
      <c r="E75" s="5"/>
      <c r="J75" s="12">
        <v>423.72</v>
      </c>
      <c r="L75" t="s">
        <v>50</v>
      </c>
      <c r="Q75" s="30"/>
      <c r="R75" s="10"/>
      <c r="S75" s="10"/>
    </row>
    <row r="76" spans="1:21" x14ac:dyDescent="0.3">
      <c r="A76" s="20"/>
      <c r="B76" s="5"/>
      <c r="C76" s="5"/>
      <c r="D76" s="5"/>
      <c r="E76" s="5"/>
      <c r="J76" s="13">
        <v>936.36</v>
      </c>
      <c r="L76" t="s">
        <v>108</v>
      </c>
      <c r="Q76" s="30"/>
      <c r="R76" s="10"/>
      <c r="S76" s="10"/>
    </row>
    <row r="77" spans="1:21" x14ac:dyDescent="0.3">
      <c r="A77" s="20"/>
      <c r="B77" s="5"/>
      <c r="C77" s="5"/>
      <c r="D77" s="5"/>
      <c r="E77" s="5"/>
      <c r="J77" s="10"/>
      <c r="Q77" s="30"/>
      <c r="R77" s="10"/>
      <c r="S77" s="10"/>
    </row>
    <row r="78" spans="1:21" x14ac:dyDescent="0.3">
      <c r="A78" s="20"/>
      <c r="B78" s="5"/>
      <c r="C78" s="5"/>
      <c r="D78" s="5"/>
      <c r="E78" s="5"/>
      <c r="J78" s="10"/>
      <c r="Q78" s="30"/>
      <c r="R78" s="10"/>
      <c r="S78" s="10"/>
    </row>
    <row r="79" spans="1:21" x14ac:dyDescent="0.3">
      <c r="A79" s="20" t="s">
        <v>116</v>
      </c>
      <c r="B79" s="5"/>
      <c r="C79" s="5"/>
      <c r="D79" s="5"/>
      <c r="E79" s="5"/>
      <c r="I79" s="7">
        <f>SUM(J79:J81)</f>
        <v>1473</v>
      </c>
      <c r="J79" s="11">
        <v>309</v>
      </c>
      <c r="L79" t="s">
        <v>37</v>
      </c>
      <c r="Q79" s="30"/>
      <c r="R79" s="10"/>
      <c r="S79" s="10"/>
    </row>
    <row r="80" spans="1:21" x14ac:dyDescent="0.3">
      <c r="A80" s="20"/>
      <c r="B80" s="5"/>
      <c r="C80" s="5"/>
      <c r="D80" s="5"/>
      <c r="E80" s="5"/>
      <c r="J80" s="12">
        <v>564</v>
      </c>
      <c r="L80" t="s">
        <v>37</v>
      </c>
      <c r="Q80" s="30"/>
      <c r="R80" s="10"/>
      <c r="S80" s="10"/>
    </row>
    <row r="81" spans="1:21" x14ac:dyDescent="0.3">
      <c r="A81" s="20"/>
      <c r="B81" s="5"/>
      <c r="C81" s="5"/>
      <c r="D81" s="5"/>
      <c r="E81" s="5"/>
      <c r="J81" s="13">
        <v>600</v>
      </c>
      <c r="L81" t="s">
        <v>37</v>
      </c>
      <c r="Q81" s="30"/>
      <c r="R81" s="10"/>
      <c r="S81" s="10"/>
    </row>
    <row r="82" spans="1:21" x14ac:dyDescent="0.3">
      <c r="A82" s="20"/>
      <c r="B82" s="5"/>
      <c r="C82" s="5"/>
      <c r="D82" s="5"/>
      <c r="E82" s="5"/>
      <c r="J82" s="10"/>
      <c r="Q82" s="30"/>
      <c r="R82" s="10"/>
      <c r="S82" s="10"/>
    </row>
    <row r="83" spans="1:21" x14ac:dyDescent="0.3">
      <c r="A83" s="20" t="s">
        <v>117</v>
      </c>
      <c r="B83" s="5"/>
      <c r="C83" s="5"/>
      <c r="D83" s="5"/>
      <c r="E83" s="5"/>
      <c r="I83" s="10">
        <v>964.39</v>
      </c>
      <c r="J83" s="10" t="s">
        <v>54</v>
      </c>
      <c r="L83" t="s">
        <v>40</v>
      </c>
      <c r="Q83" s="30"/>
      <c r="R83" s="10">
        <v>1571.06</v>
      </c>
      <c r="U83" t="s">
        <v>40</v>
      </c>
    </row>
    <row r="84" spans="1:21" x14ac:dyDescent="0.3">
      <c r="A84" s="20"/>
      <c r="B84" s="5"/>
      <c r="C84" s="5"/>
      <c r="D84" s="5"/>
      <c r="E84" s="5"/>
      <c r="I84" s="10"/>
      <c r="J84" s="10"/>
      <c r="Q84" s="30"/>
      <c r="R84" s="10"/>
      <c r="S84" s="10"/>
    </row>
    <row r="85" spans="1:21" x14ac:dyDescent="0.3">
      <c r="A85" s="20" t="s">
        <v>118</v>
      </c>
      <c r="B85" s="5">
        <f>4300</f>
        <v>4300</v>
      </c>
      <c r="C85" s="5">
        <f>4382.01</f>
        <v>4382.01</v>
      </c>
      <c r="D85" s="5">
        <f>7400</f>
        <v>7400</v>
      </c>
      <c r="E85" s="5">
        <f>((B85)+(C85))+(D85)</f>
        <v>16082.01</v>
      </c>
      <c r="I85" s="10"/>
      <c r="J85" s="10"/>
      <c r="Q85" s="30"/>
      <c r="R85" s="10">
        <f>SUM(S85:S92)</f>
        <v>12440.98</v>
      </c>
      <c r="S85" s="11">
        <v>71.05</v>
      </c>
      <c r="U85" t="s">
        <v>34</v>
      </c>
    </row>
    <row r="86" spans="1:21" x14ac:dyDescent="0.3">
      <c r="A86" s="3"/>
      <c r="B86" s="5"/>
      <c r="C86" s="5"/>
      <c r="D86" s="5"/>
      <c r="E86" s="5"/>
      <c r="I86" s="10"/>
      <c r="J86" s="10"/>
      <c r="Q86" s="30"/>
      <c r="R86" s="10"/>
      <c r="S86" s="12">
        <v>64.040000000000006</v>
      </c>
      <c r="U86" t="s">
        <v>34</v>
      </c>
    </row>
    <row r="87" spans="1:21" x14ac:dyDescent="0.3">
      <c r="A87" s="3"/>
      <c r="B87" s="5"/>
      <c r="C87" s="5"/>
      <c r="D87" s="5"/>
      <c r="E87" s="5"/>
      <c r="I87" s="10"/>
      <c r="J87" s="10"/>
      <c r="Q87" s="30"/>
      <c r="R87" s="10"/>
      <c r="S87" s="12">
        <v>350</v>
      </c>
      <c r="U87" t="s">
        <v>34</v>
      </c>
    </row>
    <row r="88" spans="1:21" x14ac:dyDescent="0.3">
      <c r="B88" s="5"/>
      <c r="C88" s="5"/>
      <c r="D88" s="5"/>
      <c r="E88" s="5"/>
      <c r="I88" s="10"/>
      <c r="J88" s="10"/>
      <c r="Q88" s="30"/>
      <c r="R88" s="10"/>
      <c r="S88" s="12">
        <f>255.19+0.7</f>
        <v>255.89</v>
      </c>
      <c r="U88" t="s">
        <v>34</v>
      </c>
    </row>
    <row r="89" spans="1:21" x14ac:dyDescent="0.3">
      <c r="A89" s="3"/>
      <c r="B89" s="5"/>
      <c r="C89" s="5"/>
      <c r="D89" s="5"/>
      <c r="E89" s="5"/>
      <c r="I89" s="10"/>
      <c r="J89" s="10"/>
      <c r="Q89" s="30"/>
      <c r="R89" s="10"/>
      <c r="S89" s="12">
        <v>2700</v>
      </c>
      <c r="U89" t="s">
        <v>34</v>
      </c>
    </row>
    <row r="90" spans="1:21" x14ac:dyDescent="0.3">
      <c r="A90" s="3"/>
      <c r="B90" s="5"/>
      <c r="C90" s="5"/>
      <c r="D90" s="5"/>
      <c r="E90" s="5"/>
      <c r="I90" s="10"/>
      <c r="J90" s="10"/>
      <c r="Q90" s="30"/>
      <c r="R90" s="10"/>
      <c r="S90" s="12">
        <v>4000</v>
      </c>
      <c r="U90" t="s">
        <v>132</v>
      </c>
    </row>
    <row r="91" spans="1:21" ht="15.6" x14ac:dyDescent="0.3">
      <c r="A91" s="9" t="s">
        <v>24</v>
      </c>
      <c r="B91" s="5"/>
      <c r="C91" s="5"/>
      <c r="D91" s="5"/>
      <c r="E91" s="5"/>
      <c r="I91" s="10"/>
      <c r="J91" s="10"/>
      <c r="Q91" s="30"/>
      <c r="R91" s="10"/>
      <c r="S91" s="12">
        <v>4000</v>
      </c>
      <c r="U91" t="s">
        <v>135</v>
      </c>
    </row>
    <row r="92" spans="1:21" ht="15.6" x14ac:dyDescent="0.3">
      <c r="A92" s="9"/>
      <c r="B92" s="5"/>
      <c r="C92" s="5"/>
      <c r="D92" s="5"/>
      <c r="E92" s="5"/>
      <c r="I92" s="10"/>
      <c r="J92" s="10"/>
      <c r="Q92" s="30"/>
      <c r="R92" s="10"/>
      <c r="S92" s="13">
        <v>1000</v>
      </c>
      <c r="U92" t="s">
        <v>136</v>
      </c>
    </row>
    <row r="93" spans="1:21" x14ac:dyDescent="0.3">
      <c r="A93" s="3"/>
      <c r="B93" s="5"/>
      <c r="C93" s="5"/>
      <c r="D93" s="5"/>
      <c r="E93" s="5"/>
      <c r="I93" s="10"/>
      <c r="J93" s="10"/>
      <c r="Q93" s="30"/>
      <c r="R93" s="10"/>
      <c r="S93" s="10"/>
    </row>
    <row r="94" spans="1:21" x14ac:dyDescent="0.3">
      <c r="A94" s="20" t="s">
        <v>73</v>
      </c>
      <c r="B94" s="5"/>
      <c r="C94" s="5"/>
      <c r="D94" s="5"/>
      <c r="E94" s="5"/>
      <c r="I94" s="10">
        <f>SUM(J94:J98)</f>
        <v>1687.7600000000002</v>
      </c>
      <c r="J94" s="11">
        <v>238.38</v>
      </c>
      <c r="L94" t="s">
        <v>104</v>
      </c>
      <c r="Q94" s="30"/>
      <c r="R94" s="10">
        <f>SUM(S94:S97)</f>
        <v>1423.29</v>
      </c>
      <c r="S94" s="11">
        <v>281.83999999999997</v>
      </c>
      <c r="U94" t="s">
        <v>104</v>
      </c>
    </row>
    <row r="95" spans="1:21" x14ac:dyDescent="0.3">
      <c r="A95" s="20"/>
      <c r="B95" s="5"/>
      <c r="C95" s="5"/>
      <c r="D95" s="5"/>
      <c r="E95" s="5"/>
      <c r="I95" s="10"/>
      <c r="J95" s="12">
        <v>261.54000000000002</v>
      </c>
      <c r="L95" t="s">
        <v>104</v>
      </c>
      <c r="Q95" s="30"/>
      <c r="R95" s="10"/>
      <c r="S95" s="12">
        <v>451.69</v>
      </c>
      <c r="U95" t="s">
        <v>104</v>
      </c>
    </row>
    <row r="96" spans="1:21" x14ac:dyDescent="0.3">
      <c r="A96" s="20"/>
      <c r="B96" s="5"/>
      <c r="C96" s="5"/>
      <c r="D96" s="5"/>
      <c r="E96" s="5"/>
      <c r="I96" s="10"/>
      <c r="J96" s="12">
        <v>481.74</v>
      </c>
      <c r="L96" t="s">
        <v>104</v>
      </c>
      <c r="Q96" s="30"/>
      <c r="R96" s="10"/>
      <c r="S96" s="12">
        <v>261.77999999999997</v>
      </c>
      <c r="U96" t="s">
        <v>104</v>
      </c>
    </row>
    <row r="97" spans="1:21" x14ac:dyDescent="0.3">
      <c r="A97" s="20"/>
      <c r="B97" s="5"/>
      <c r="C97" s="5"/>
      <c r="D97" s="5"/>
      <c r="E97" s="5"/>
      <c r="I97" s="10"/>
      <c r="J97" s="12">
        <v>419.24</v>
      </c>
      <c r="L97" t="s">
        <v>104</v>
      </c>
      <c r="Q97" s="30"/>
      <c r="R97" s="10"/>
      <c r="S97" s="13">
        <v>427.98</v>
      </c>
      <c r="U97" t="s">
        <v>104</v>
      </c>
    </row>
    <row r="98" spans="1:21" x14ac:dyDescent="0.3">
      <c r="A98" s="20"/>
      <c r="B98" s="5"/>
      <c r="C98" s="5"/>
      <c r="D98" s="5"/>
      <c r="E98" s="5"/>
      <c r="I98" s="10"/>
      <c r="J98" s="13">
        <v>286.86</v>
      </c>
      <c r="L98" t="s">
        <v>104</v>
      </c>
      <c r="Q98" s="30"/>
      <c r="R98" s="10"/>
      <c r="S98" s="10"/>
    </row>
    <row r="99" spans="1:21" x14ac:dyDescent="0.3">
      <c r="A99" s="20"/>
      <c r="B99" s="5"/>
      <c r="C99" s="5"/>
      <c r="D99" s="5"/>
      <c r="E99" s="5"/>
      <c r="I99" s="10"/>
      <c r="J99" s="10"/>
      <c r="Q99" s="30"/>
      <c r="R99" s="10"/>
      <c r="S99" s="10"/>
    </row>
    <row r="100" spans="1:21" x14ac:dyDescent="0.3">
      <c r="A100" s="20"/>
      <c r="B100" s="5"/>
      <c r="C100" s="5"/>
      <c r="D100" s="5"/>
      <c r="E100" s="5"/>
      <c r="I100" s="10"/>
      <c r="J100" s="10"/>
      <c r="Q100" s="30"/>
      <c r="R100" s="10"/>
      <c r="S100" s="10"/>
    </row>
    <row r="101" spans="1:21" x14ac:dyDescent="0.3">
      <c r="A101" s="20" t="s">
        <v>72</v>
      </c>
      <c r="B101" s="5">
        <f>673.82</f>
        <v>673.82</v>
      </c>
      <c r="C101" s="4"/>
      <c r="D101" s="4"/>
      <c r="E101" s="5">
        <f t="shared" si="1"/>
        <v>673.82</v>
      </c>
      <c r="I101" s="10"/>
      <c r="J101" s="10"/>
      <c r="Q101" s="30"/>
      <c r="R101" s="10"/>
      <c r="S101" s="10"/>
    </row>
    <row r="102" spans="1:21" x14ac:dyDescent="0.3">
      <c r="A102" s="21"/>
      <c r="B102" s="4"/>
      <c r="C102" s="4"/>
      <c r="D102" s="4"/>
      <c r="E102" s="5">
        <f t="shared" si="1"/>
        <v>0</v>
      </c>
      <c r="I102" s="10"/>
      <c r="J102" s="10"/>
      <c r="Q102" s="30"/>
      <c r="R102" s="10"/>
      <c r="S102" s="10"/>
    </row>
    <row r="103" spans="1:21" x14ac:dyDescent="0.3">
      <c r="A103" s="20" t="s">
        <v>89</v>
      </c>
      <c r="B103" s="4"/>
      <c r="C103" s="4"/>
      <c r="D103" s="4"/>
      <c r="E103" s="5"/>
      <c r="I103" s="10">
        <f>SUM(J103:J106)</f>
        <v>1939.7799999999997</v>
      </c>
      <c r="J103" s="11">
        <v>500</v>
      </c>
      <c r="L103" t="s">
        <v>184</v>
      </c>
      <c r="O103">
        <v>1170</v>
      </c>
      <c r="Q103" s="30"/>
      <c r="R103" s="10"/>
      <c r="S103" s="10"/>
    </row>
    <row r="104" spans="1:21" x14ac:dyDescent="0.3">
      <c r="A104" s="21"/>
      <c r="B104" s="4"/>
      <c r="C104" s="4"/>
      <c r="D104" s="4"/>
      <c r="E104" s="5"/>
      <c r="I104" s="10"/>
      <c r="J104" s="12">
        <v>469.89</v>
      </c>
      <c r="L104" t="s">
        <v>184</v>
      </c>
      <c r="O104">
        <v>1171</v>
      </c>
      <c r="Q104" s="30"/>
      <c r="R104" s="10"/>
      <c r="S104" s="10"/>
    </row>
    <row r="105" spans="1:21" x14ac:dyDescent="0.3">
      <c r="A105" s="21"/>
      <c r="B105" s="4"/>
      <c r="C105" s="4"/>
      <c r="D105" s="4"/>
      <c r="E105" s="5"/>
      <c r="I105" s="10"/>
      <c r="J105" s="12">
        <v>500</v>
      </c>
      <c r="L105" t="s">
        <v>184</v>
      </c>
      <c r="O105">
        <v>1177</v>
      </c>
      <c r="Q105" s="30"/>
      <c r="R105" s="10"/>
      <c r="S105" s="10"/>
    </row>
    <row r="106" spans="1:21" x14ac:dyDescent="0.3">
      <c r="A106" s="21"/>
      <c r="B106" s="4"/>
      <c r="C106" s="4"/>
      <c r="D106" s="4"/>
      <c r="E106" s="5"/>
      <c r="I106" s="10"/>
      <c r="J106" s="13">
        <v>469.89</v>
      </c>
      <c r="L106" t="s">
        <v>184</v>
      </c>
      <c r="O106">
        <v>1178</v>
      </c>
      <c r="Q106" s="30"/>
      <c r="R106" s="10"/>
      <c r="S106" s="10"/>
    </row>
    <row r="107" spans="1:21" x14ac:dyDescent="0.3">
      <c r="A107" s="21"/>
      <c r="B107" s="4"/>
      <c r="C107" s="4"/>
      <c r="D107" s="4"/>
      <c r="E107" s="5"/>
      <c r="I107" s="10"/>
      <c r="J107" s="10"/>
      <c r="Q107" s="30"/>
      <c r="R107" s="10"/>
      <c r="S107" s="10"/>
    </row>
    <row r="108" spans="1:21" x14ac:dyDescent="0.3">
      <c r="A108" s="20" t="s">
        <v>68</v>
      </c>
      <c r="B108" s="5">
        <f>6025.76</f>
        <v>6025.76</v>
      </c>
      <c r="C108" s="5">
        <f>6435.9</f>
        <v>6435.9</v>
      </c>
      <c r="D108" s="5">
        <f>13141.84</f>
        <v>13141.84</v>
      </c>
      <c r="E108" s="5">
        <f t="shared" si="1"/>
        <v>25603.5</v>
      </c>
      <c r="I108" s="10">
        <f>SUM(J108:J112)</f>
        <v>6866.69</v>
      </c>
      <c r="J108" s="11">
        <v>5825.28</v>
      </c>
      <c r="L108" t="s">
        <v>43</v>
      </c>
      <c r="Q108" s="30"/>
      <c r="R108" s="10">
        <f>SUM(S108:S110)</f>
        <v>6195.2699999999995</v>
      </c>
      <c r="S108" s="11">
        <v>212.78</v>
      </c>
      <c r="U108" t="s">
        <v>33</v>
      </c>
    </row>
    <row r="109" spans="1:21" x14ac:dyDescent="0.3">
      <c r="A109" s="20"/>
      <c r="B109" s="5"/>
      <c r="C109" s="5"/>
      <c r="D109" s="5"/>
      <c r="E109" s="5"/>
      <c r="I109" s="10"/>
      <c r="J109" s="12">
        <v>69.180000000000007</v>
      </c>
      <c r="L109" t="s">
        <v>33</v>
      </c>
      <c r="Q109" s="30"/>
      <c r="R109" s="10"/>
      <c r="S109" s="12">
        <v>5834.13</v>
      </c>
      <c r="U109" t="s">
        <v>43</v>
      </c>
    </row>
    <row r="110" spans="1:21" x14ac:dyDescent="0.3">
      <c r="A110" s="20"/>
      <c r="B110" s="5"/>
      <c r="C110" s="5"/>
      <c r="D110" s="5"/>
      <c r="E110" s="5"/>
      <c r="I110" s="10"/>
      <c r="J110" s="12">
        <v>99.94</v>
      </c>
      <c r="L110" t="s">
        <v>33</v>
      </c>
      <c r="Q110" s="30"/>
      <c r="R110" s="10"/>
      <c r="S110" s="13">
        <v>148.36000000000001</v>
      </c>
      <c r="U110" t="s">
        <v>33</v>
      </c>
    </row>
    <row r="111" spans="1:21" x14ac:dyDescent="0.3">
      <c r="A111" s="20"/>
      <c r="B111" s="5"/>
      <c r="C111" s="5"/>
      <c r="D111" s="5"/>
      <c r="E111" s="5"/>
      <c r="I111" s="10"/>
      <c r="J111" s="12">
        <v>130.4</v>
      </c>
      <c r="L111" t="s">
        <v>33</v>
      </c>
      <c r="Q111" s="30"/>
      <c r="R111" s="10"/>
      <c r="S111" s="10"/>
    </row>
    <row r="112" spans="1:21" x14ac:dyDescent="0.3">
      <c r="A112" s="20"/>
      <c r="B112" s="5"/>
      <c r="C112" s="5"/>
      <c r="D112" s="5"/>
      <c r="E112" s="5"/>
      <c r="I112" s="10"/>
      <c r="J112" s="13">
        <v>741.89</v>
      </c>
      <c r="L112" t="s">
        <v>33</v>
      </c>
      <c r="Q112" s="30"/>
      <c r="R112" s="10"/>
      <c r="S112" s="10"/>
    </row>
    <row r="113" spans="1:22" x14ac:dyDescent="0.3">
      <c r="A113" s="3"/>
      <c r="B113" s="5"/>
      <c r="C113" s="5"/>
      <c r="D113" s="5"/>
      <c r="E113" s="5"/>
      <c r="I113" s="10"/>
      <c r="J113" s="10"/>
      <c r="Q113" s="30"/>
      <c r="R113" s="10"/>
      <c r="S113" s="10"/>
    </row>
    <row r="114" spans="1:22" x14ac:dyDescent="0.3">
      <c r="A114" s="3"/>
      <c r="B114" s="5"/>
      <c r="C114" s="5"/>
      <c r="D114" s="5"/>
      <c r="E114" s="5"/>
      <c r="I114" s="10"/>
      <c r="J114" s="10"/>
      <c r="Q114" s="30"/>
      <c r="R114" s="10"/>
      <c r="S114" s="10"/>
    </row>
    <row r="115" spans="1:22" ht="15.6" x14ac:dyDescent="0.3">
      <c r="A115" s="9" t="s">
        <v>71</v>
      </c>
      <c r="B115" s="5"/>
      <c r="C115" s="5"/>
      <c r="D115" s="5"/>
      <c r="E115" s="5"/>
      <c r="I115" s="10"/>
      <c r="J115" s="10"/>
      <c r="Q115" s="30"/>
      <c r="R115" s="10"/>
      <c r="S115" s="10"/>
    </row>
    <row r="116" spans="1:22" ht="15.6" x14ac:dyDescent="0.3">
      <c r="A116" s="9"/>
      <c r="B116" s="5"/>
      <c r="C116" s="5"/>
      <c r="D116" s="5"/>
      <c r="E116" s="5"/>
      <c r="I116" s="10"/>
      <c r="J116" s="10"/>
      <c r="Q116" s="30"/>
      <c r="R116" s="10"/>
      <c r="S116" s="10"/>
    </row>
    <row r="117" spans="1:22" x14ac:dyDescent="0.3">
      <c r="A117" s="20" t="s">
        <v>95</v>
      </c>
      <c r="I117" s="7">
        <f>SUM(J117:J118)</f>
        <v>36623.35</v>
      </c>
      <c r="J117" s="10">
        <v>17045.349999999999</v>
      </c>
      <c r="Q117" s="30"/>
      <c r="R117" s="10">
        <f>SUM(S117:S118)</f>
        <v>19420.669999999998</v>
      </c>
      <c r="S117" s="11">
        <v>19070.669999999998</v>
      </c>
      <c r="U117" s="24" t="s">
        <v>95</v>
      </c>
      <c r="V117" s="23"/>
    </row>
    <row r="118" spans="1:22" x14ac:dyDescent="0.3">
      <c r="A118" s="20"/>
      <c r="J118" s="10">
        <v>19578</v>
      </c>
      <c r="Q118" s="30"/>
      <c r="R118" s="10"/>
      <c r="S118" s="13">
        <v>350</v>
      </c>
      <c r="U118" s="24" t="s">
        <v>95</v>
      </c>
    </row>
    <row r="119" spans="1:22" x14ac:dyDescent="0.3">
      <c r="A119" s="20"/>
      <c r="I119" s="10"/>
      <c r="J119" s="10"/>
      <c r="Q119" s="30"/>
      <c r="R119" s="10"/>
      <c r="S119" s="10"/>
    </row>
    <row r="120" spans="1:22" x14ac:dyDescent="0.3">
      <c r="A120" s="20" t="s">
        <v>98</v>
      </c>
      <c r="I120" s="10">
        <v>400</v>
      </c>
      <c r="L120" t="s">
        <v>120</v>
      </c>
      <c r="Q120" s="30"/>
      <c r="R120" s="10"/>
      <c r="S120" s="10"/>
    </row>
    <row r="121" spans="1:22" x14ac:dyDescent="0.3">
      <c r="A121" s="20"/>
      <c r="I121" s="10"/>
      <c r="J121" s="10"/>
      <c r="Q121" s="30"/>
      <c r="R121" s="10"/>
      <c r="S121" s="10"/>
    </row>
    <row r="122" spans="1:22" x14ac:dyDescent="0.3">
      <c r="A122" s="20" t="s">
        <v>102</v>
      </c>
      <c r="I122" s="10">
        <v>484</v>
      </c>
      <c r="L122" t="s">
        <v>103</v>
      </c>
      <c r="Q122" s="30"/>
      <c r="R122" s="10"/>
      <c r="S122" s="10"/>
    </row>
    <row r="123" spans="1:22" x14ac:dyDescent="0.3">
      <c r="A123" s="21"/>
      <c r="I123" s="10"/>
      <c r="J123" s="10"/>
      <c r="Q123" s="30"/>
      <c r="R123" s="10"/>
      <c r="S123" s="10"/>
    </row>
    <row r="124" spans="1:22" x14ac:dyDescent="0.3">
      <c r="A124" s="20"/>
      <c r="B124" s="5"/>
      <c r="C124" s="5"/>
      <c r="D124" s="5"/>
      <c r="E124" s="5"/>
      <c r="I124" s="10"/>
      <c r="J124" s="10"/>
      <c r="Q124" s="30"/>
      <c r="R124" s="10"/>
      <c r="S124" s="10"/>
    </row>
    <row r="125" spans="1:22" ht="17.25" customHeight="1" x14ac:dyDescent="0.3">
      <c r="A125" s="20" t="s">
        <v>74</v>
      </c>
      <c r="B125" s="5"/>
      <c r="C125" s="5"/>
      <c r="D125" s="5"/>
      <c r="E125" s="5"/>
      <c r="I125" s="10">
        <v>909</v>
      </c>
      <c r="L125" t="s">
        <v>124</v>
      </c>
      <c r="Q125" s="30"/>
      <c r="R125" s="7">
        <f>SUM(S125:S126)</f>
        <v>1357</v>
      </c>
      <c r="S125" s="10">
        <v>448</v>
      </c>
    </row>
    <row r="126" spans="1:22" x14ac:dyDescent="0.3">
      <c r="A126" s="20"/>
      <c r="B126" s="5"/>
      <c r="C126" s="5"/>
      <c r="D126" s="5"/>
      <c r="E126" s="5"/>
      <c r="I126" s="10"/>
      <c r="J126" s="10"/>
      <c r="Q126" s="30"/>
      <c r="R126" s="10"/>
      <c r="S126" s="10">
        <v>909</v>
      </c>
      <c r="U126" t="s">
        <v>137</v>
      </c>
    </row>
    <row r="127" spans="1:22" x14ac:dyDescent="0.3">
      <c r="A127" s="20"/>
      <c r="B127" s="5"/>
      <c r="C127" s="5"/>
      <c r="D127" s="5"/>
      <c r="E127" s="5"/>
      <c r="I127" s="10"/>
      <c r="J127" s="10"/>
      <c r="Q127" s="30"/>
      <c r="R127" s="10"/>
      <c r="S127" s="10"/>
    </row>
    <row r="128" spans="1:22" x14ac:dyDescent="0.3">
      <c r="A128" s="20"/>
      <c r="B128" s="5"/>
      <c r="C128" s="5"/>
      <c r="D128" s="5"/>
      <c r="E128" s="5"/>
      <c r="I128" s="10"/>
      <c r="J128" s="10"/>
      <c r="Q128" s="30"/>
      <c r="R128" s="10"/>
      <c r="S128" s="10"/>
    </row>
    <row r="129" spans="1:19" x14ac:dyDescent="0.3">
      <c r="A129" s="20"/>
      <c r="B129" s="5"/>
      <c r="C129" s="5"/>
      <c r="D129" s="5"/>
      <c r="E129" s="5"/>
      <c r="I129" s="10"/>
      <c r="J129" s="10"/>
      <c r="Q129" s="30"/>
      <c r="R129" s="10"/>
      <c r="S129" s="10"/>
    </row>
    <row r="130" spans="1:19" x14ac:dyDescent="0.3">
      <c r="A130" s="20"/>
      <c r="B130" s="5"/>
      <c r="C130" s="5"/>
      <c r="D130" s="5"/>
      <c r="E130" s="5"/>
      <c r="I130" s="10"/>
      <c r="J130" s="10"/>
      <c r="Q130" s="30"/>
      <c r="R130" s="10"/>
      <c r="S130" s="10"/>
    </row>
    <row r="131" spans="1:19" x14ac:dyDescent="0.3">
      <c r="A131" s="3"/>
      <c r="B131" s="5"/>
      <c r="C131" s="5"/>
      <c r="D131" s="5"/>
      <c r="E131" s="5"/>
      <c r="I131" s="10"/>
      <c r="J131" s="10"/>
      <c r="Q131" s="30"/>
      <c r="R131" s="10"/>
      <c r="S131" s="10"/>
    </row>
    <row r="132" spans="1:19" x14ac:dyDescent="0.3">
      <c r="A132" s="3"/>
      <c r="B132" s="5"/>
      <c r="C132" s="5"/>
      <c r="D132" s="5"/>
      <c r="E132" s="5"/>
      <c r="I132" s="10"/>
      <c r="J132" s="10"/>
      <c r="Q132" s="30"/>
    </row>
    <row r="133" spans="1:19" x14ac:dyDescent="0.3">
      <c r="A133" s="3"/>
      <c r="B133" s="5"/>
      <c r="C133" s="5"/>
      <c r="D133" s="5"/>
      <c r="E133" s="5"/>
      <c r="J133" s="10"/>
      <c r="Q133" s="30"/>
    </row>
    <row r="134" spans="1:19" ht="15" thickBot="1" x14ac:dyDescent="0.35">
      <c r="A134" s="18"/>
      <c r="B134" s="5"/>
      <c r="C134" s="5"/>
      <c r="D134" s="5"/>
      <c r="E134" s="5"/>
      <c r="I134" s="15"/>
      <c r="J134" s="10"/>
      <c r="Q134" s="30"/>
      <c r="R134" s="15"/>
    </row>
    <row r="135" spans="1:19" ht="15" thickBot="1" x14ac:dyDescent="0.35">
      <c r="A135" s="3"/>
      <c r="B135" s="5"/>
      <c r="C135" s="5"/>
      <c r="D135" s="5"/>
      <c r="E135" s="5"/>
      <c r="J135" s="10"/>
      <c r="L135" s="14" t="s">
        <v>54</v>
      </c>
      <c r="Q135" s="30"/>
    </row>
    <row r="136" spans="1:19" ht="16.2" thickBot="1" x14ac:dyDescent="0.35">
      <c r="A136" s="9" t="s">
        <v>78</v>
      </c>
      <c r="B136" s="5"/>
      <c r="C136" s="5"/>
      <c r="D136" s="5"/>
      <c r="E136" s="5"/>
      <c r="I136" s="22">
        <f>SUM(I22:I132)</f>
        <v>80349.179999999993</v>
      </c>
      <c r="J136" s="10"/>
      <c r="L136" t="s">
        <v>54</v>
      </c>
      <c r="Q136" s="30"/>
      <c r="R136" s="19">
        <f>SUM(R24:R134)</f>
        <v>147855.54999999999</v>
      </c>
      <c r="S136" s="7" t="s">
        <v>54</v>
      </c>
    </row>
    <row r="137" spans="1:19" x14ac:dyDescent="0.3">
      <c r="A137" s="3"/>
      <c r="B137" s="5"/>
      <c r="C137" s="5"/>
      <c r="D137" s="5"/>
      <c r="E137" s="5"/>
      <c r="L137" s="14" t="s">
        <v>54</v>
      </c>
      <c r="Q137" s="30"/>
    </row>
    <row r="138" spans="1:19" x14ac:dyDescent="0.3">
      <c r="Q138" s="30"/>
    </row>
    <row r="139" spans="1:19" x14ac:dyDescent="0.3">
      <c r="A139" s="3"/>
      <c r="B139" s="5"/>
      <c r="C139" s="5"/>
      <c r="D139" s="5"/>
      <c r="E139" s="5"/>
      <c r="Q139" s="30"/>
    </row>
    <row r="140" spans="1:19" x14ac:dyDescent="0.3">
      <c r="A140" s="3"/>
      <c r="B140" s="5"/>
      <c r="C140" s="5"/>
      <c r="D140" s="5"/>
      <c r="E140" s="5"/>
      <c r="Q140" s="30"/>
    </row>
    <row r="141" spans="1:19" ht="15.6" x14ac:dyDescent="0.3">
      <c r="A141" s="9" t="s">
        <v>125</v>
      </c>
      <c r="B141" s="5"/>
      <c r="C141" s="5"/>
      <c r="D141" s="5"/>
      <c r="E141" s="5"/>
      <c r="I141" s="7">
        <v>83971.49</v>
      </c>
      <c r="J141" s="7" t="s">
        <v>126</v>
      </c>
      <c r="Q141" s="30"/>
      <c r="R141" s="7">
        <v>10000</v>
      </c>
      <c r="S141" s="7" t="s">
        <v>126</v>
      </c>
    </row>
    <row r="142" spans="1:19" x14ac:dyDescent="0.3">
      <c r="A142" s="3"/>
      <c r="B142" s="5"/>
      <c r="C142" s="5"/>
      <c r="D142" s="5"/>
      <c r="E142" s="5"/>
      <c r="I142" s="7">
        <v>3400</v>
      </c>
      <c r="J142" s="7" t="s">
        <v>127</v>
      </c>
      <c r="Q142" s="30"/>
    </row>
    <row r="143" spans="1:19" x14ac:dyDescent="0.3">
      <c r="A143" s="3"/>
      <c r="B143" s="5"/>
      <c r="C143" s="5"/>
      <c r="D143" s="5"/>
      <c r="E143" s="5"/>
      <c r="I143" s="7">
        <v>20000</v>
      </c>
      <c r="J143" s="7" t="s">
        <v>126</v>
      </c>
      <c r="Q143" s="30"/>
    </row>
    <row r="144" spans="1:19" x14ac:dyDescent="0.3">
      <c r="A144" s="3"/>
      <c r="B144" s="5"/>
      <c r="C144" s="5"/>
      <c r="D144" s="5"/>
      <c r="E144" s="5"/>
      <c r="Q144" s="30"/>
    </row>
    <row r="145" spans="1:5" x14ac:dyDescent="0.3">
      <c r="A145" s="3"/>
      <c r="B145" s="5"/>
      <c r="C145" s="5"/>
      <c r="D145" s="5"/>
      <c r="E145" s="5"/>
    </row>
    <row r="146" spans="1:5" x14ac:dyDescent="0.3">
      <c r="A146" s="3"/>
      <c r="B146" s="5"/>
      <c r="C146" s="5"/>
      <c r="D146" s="5"/>
      <c r="E146" s="5"/>
    </row>
  </sheetData>
  <mergeCells count="5">
    <mergeCell ref="A1:E1"/>
    <mergeCell ref="A2:E2"/>
    <mergeCell ref="A3:E3"/>
    <mergeCell ref="I5:J5"/>
    <mergeCell ref="R5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E1DF-1BD7-4472-BCD7-1C0A1BA58FDA}">
  <dimension ref="A1:AD131"/>
  <sheetViews>
    <sheetView topLeftCell="A42" workbookViewId="0">
      <selection activeCell="I57" sqref="I57"/>
    </sheetView>
  </sheetViews>
  <sheetFormatPr defaultRowHeight="14.4" x14ac:dyDescent="0.3"/>
  <cols>
    <col min="1" max="1" width="48.6640625" customWidth="1"/>
    <col min="2" max="4" width="11.109375" hidden="1" customWidth="1"/>
    <col min="5" max="5" width="12" hidden="1" customWidth="1"/>
    <col min="6" max="6" width="0" hidden="1" customWidth="1"/>
    <col min="9" max="9" width="12.6640625" style="7" bestFit="1" customWidth="1"/>
    <col min="10" max="10" width="11.5546875" style="7" bestFit="1" customWidth="1"/>
    <col min="12" max="12" width="10.5546875" bestFit="1" customWidth="1"/>
    <col min="18" max="18" width="16" style="7" customWidth="1"/>
    <col min="19" max="19" width="12.5546875" style="7" bestFit="1" customWidth="1"/>
  </cols>
  <sheetData>
    <row r="1" spans="1:30" ht="17.399999999999999" x14ac:dyDescent="0.3">
      <c r="A1" s="66" t="s">
        <v>26</v>
      </c>
      <c r="B1" s="63"/>
      <c r="C1" s="63"/>
      <c r="D1" s="63"/>
      <c r="E1" s="63"/>
      <c r="P1" s="30"/>
    </row>
    <row r="2" spans="1:30" ht="17.399999999999999" x14ac:dyDescent="0.3">
      <c r="A2" s="66" t="s">
        <v>27</v>
      </c>
      <c r="B2" s="63"/>
      <c r="C2" s="63"/>
      <c r="D2" s="63"/>
      <c r="E2" s="63"/>
      <c r="P2" s="30"/>
    </row>
    <row r="3" spans="1:30" x14ac:dyDescent="0.3">
      <c r="A3" s="62" t="s">
        <v>54</v>
      </c>
      <c r="B3" s="63"/>
      <c r="C3" s="63"/>
      <c r="D3" s="63"/>
      <c r="E3" s="63"/>
      <c r="P3" s="30"/>
    </row>
    <row r="4" spans="1:30" x14ac:dyDescent="0.3">
      <c r="P4" s="30"/>
    </row>
    <row r="5" spans="1:30" ht="15.6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  <c r="I5" s="64" t="s">
        <v>28</v>
      </c>
      <c r="J5" s="64"/>
      <c r="P5" s="30"/>
      <c r="R5" s="64" t="s">
        <v>79</v>
      </c>
      <c r="S5" s="64"/>
      <c r="AD5" s="17" t="s">
        <v>100</v>
      </c>
    </row>
    <row r="6" spans="1:30" ht="15.6" x14ac:dyDescent="0.3">
      <c r="A6" s="1"/>
      <c r="B6" s="28"/>
      <c r="C6" s="28"/>
      <c r="D6" s="28"/>
      <c r="E6" s="28"/>
      <c r="I6" s="29" t="s">
        <v>3</v>
      </c>
      <c r="J6" s="29" t="s">
        <v>166</v>
      </c>
      <c r="P6" s="30"/>
      <c r="R6" s="29" t="s">
        <v>3</v>
      </c>
      <c r="S6" s="29" t="s">
        <v>166</v>
      </c>
      <c r="AD6" s="17"/>
    </row>
    <row r="7" spans="1:30" ht="15.6" x14ac:dyDescent="0.3">
      <c r="A7" s="9" t="s">
        <v>4</v>
      </c>
      <c r="B7" s="4"/>
      <c r="C7" s="4"/>
      <c r="D7" s="4"/>
      <c r="E7" s="4"/>
      <c r="P7" s="30"/>
    </row>
    <row r="8" spans="1:30" x14ac:dyDescent="0.3">
      <c r="A8" s="20" t="s">
        <v>5</v>
      </c>
      <c r="B8" s="5">
        <f>250</f>
        <v>250</v>
      </c>
      <c r="C8" s="4"/>
      <c r="D8" s="4"/>
      <c r="E8" s="5">
        <f t="shared" ref="E8:E18" si="0">((B8)+(C8))+(D8)</f>
        <v>250</v>
      </c>
      <c r="P8" s="30"/>
    </row>
    <row r="9" spans="1:30" x14ac:dyDescent="0.3">
      <c r="A9" s="20" t="s">
        <v>6</v>
      </c>
      <c r="B9" s="5">
        <f>150</f>
        <v>150</v>
      </c>
      <c r="C9" s="5">
        <f>50</f>
        <v>50</v>
      </c>
      <c r="D9" s="5">
        <f>270</f>
        <v>270</v>
      </c>
      <c r="E9" s="5">
        <f t="shared" si="0"/>
        <v>470</v>
      </c>
      <c r="P9" s="30"/>
    </row>
    <row r="10" spans="1:30" x14ac:dyDescent="0.3">
      <c r="A10" s="20" t="s">
        <v>7</v>
      </c>
      <c r="B10" s="5">
        <f>73579.86</f>
        <v>73579.86</v>
      </c>
      <c r="C10" s="5">
        <f>79094</f>
        <v>79094</v>
      </c>
      <c r="D10" s="5">
        <f>80307.8</f>
        <v>80307.8</v>
      </c>
      <c r="E10" s="5">
        <f t="shared" si="0"/>
        <v>232981.65999999997</v>
      </c>
      <c r="P10" s="30"/>
    </row>
    <row r="11" spans="1:30" x14ac:dyDescent="0.3">
      <c r="A11" s="20" t="s">
        <v>8</v>
      </c>
      <c r="B11" s="5">
        <f>16163.94</f>
        <v>16163.94</v>
      </c>
      <c r="C11" s="5">
        <f>5019.2</f>
        <v>5019.2</v>
      </c>
      <c r="D11" s="5">
        <f>3567.8</f>
        <v>3567.8</v>
      </c>
      <c r="E11" s="5">
        <f t="shared" si="0"/>
        <v>24750.94</v>
      </c>
      <c r="P11" s="30"/>
    </row>
    <row r="12" spans="1:30" x14ac:dyDescent="0.3">
      <c r="A12" s="20" t="s">
        <v>9</v>
      </c>
      <c r="B12" s="4"/>
      <c r="C12" s="4"/>
      <c r="D12" s="5">
        <f>185.41</f>
        <v>185.41</v>
      </c>
      <c r="E12" s="5">
        <f t="shared" si="0"/>
        <v>185.41</v>
      </c>
      <c r="P12" s="30"/>
    </row>
    <row r="13" spans="1:30" x14ac:dyDescent="0.3">
      <c r="A13" s="20" t="s">
        <v>10</v>
      </c>
      <c r="B13" s="5">
        <f>360</f>
        <v>360</v>
      </c>
      <c r="C13" s="4"/>
      <c r="D13" s="5">
        <f>360</f>
        <v>360</v>
      </c>
      <c r="E13" s="5">
        <f t="shared" si="0"/>
        <v>720</v>
      </c>
      <c r="P13" s="30"/>
    </row>
    <row r="14" spans="1:30" x14ac:dyDescent="0.3">
      <c r="A14" s="20" t="s">
        <v>11</v>
      </c>
      <c r="B14" s="4"/>
      <c r="C14" s="5">
        <f>250</f>
        <v>250</v>
      </c>
      <c r="D14" s="4"/>
      <c r="E14" s="5">
        <f t="shared" si="0"/>
        <v>250</v>
      </c>
      <c r="P14" s="30"/>
    </row>
    <row r="15" spans="1:30" x14ac:dyDescent="0.3">
      <c r="A15" s="20" t="s">
        <v>12</v>
      </c>
      <c r="B15" s="4"/>
      <c r="C15" s="4"/>
      <c r="D15" s="5">
        <f>1457638.78</f>
        <v>1457638.78</v>
      </c>
      <c r="E15" s="5">
        <f t="shared" si="0"/>
        <v>1457638.78</v>
      </c>
      <c r="P15" s="30"/>
    </row>
    <row r="16" spans="1:30" x14ac:dyDescent="0.3">
      <c r="A16" s="20" t="s">
        <v>13</v>
      </c>
      <c r="B16" s="5">
        <f>21368.6</f>
        <v>21368.6</v>
      </c>
      <c r="C16" s="5">
        <f>578825.05</f>
        <v>578825.05000000005</v>
      </c>
      <c r="D16" s="5">
        <f>-619806.94</f>
        <v>-619806.93999999994</v>
      </c>
      <c r="E16" s="5">
        <f t="shared" si="0"/>
        <v>-19613.289999999921</v>
      </c>
      <c r="P16" s="30"/>
    </row>
    <row r="17" spans="1:20" x14ac:dyDescent="0.3">
      <c r="A17" s="20" t="s">
        <v>14</v>
      </c>
      <c r="B17" s="6">
        <f>((((((((B8)+(B9))+(B10))+(B11))+(B12))+(B13))+(B14))+(B15))+(B16)</f>
        <v>111872.4</v>
      </c>
      <c r="C17" s="6">
        <f>((((((((C8)+(C9))+(C10))+(C11))+(C12))+(C13))+(C14))+(C15))+(C16)</f>
        <v>663238.25</v>
      </c>
      <c r="D17" s="6">
        <f>((((((((D8)+(D9))+(D10))+(D11))+(D12))+(D13))+(D14))+(D15))+(D16)</f>
        <v>922522.85000000009</v>
      </c>
      <c r="E17" s="6">
        <f t="shared" si="0"/>
        <v>1697633.5</v>
      </c>
      <c r="P17" s="30"/>
    </row>
    <row r="18" spans="1:20" x14ac:dyDescent="0.3">
      <c r="A18" s="3" t="s">
        <v>54</v>
      </c>
      <c r="B18" s="6">
        <f>(B17)-(0)</f>
        <v>111872.4</v>
      </c>
      <c r="C18" s="6">
        <f>(C17)-(0)</f>
        <v>663238.25</v>
      </c>
      <c r="D18" s="6">
        <f>(D17)-(0)</f>
        <v>922522.85000000009</v>
      </c>
      <c r="E18" s="6">
        <f t="shared" si="0"/>
        <v>1697633.5</v>
      </c>
      <c r="P18" s="30"/>
    </row>
    <row r="19" spans="1:20" x14ac:dyDescent="0.3">
      <c r="A19" s="3"/>
      <c r="B19" s="8"/>
      <c r="C19" s="8"/>
      <c r="D19" s="8"/>
      <c r="E19" s="8"/>
      <c r="P19" s="30"/>
    </row>
    <row r="20" spans="1:20" ht="15.6" x14ac:dyDescent="0.3">
      <c r="A20" s="9" t="s">
        <v>15</v>
      </c>
      <c r="B20" s="4"/>
      <c r="C20" s="4"/>
      <c r="D20" s="4"/>
      <c r="E20" s="4"/>
      <c r="P20" s="30"/>
    </row>
    <row r="21" spans="1:20" ht="15.6" x14ac:dyDescent="0.3">
      <c r="A21" s="9"/>
      <c r="B21" s="4"/>
      <c r="C21" s="4"/>
      <c r="D21" s="4"/>
      <c r="E21" s="4"/>
      <c r="P21" s="30"/>
    </row>
    <row r="22" spans="1:20" x14ac:dyDescent="0.3">
      <c r="A22" s="20" t="s">
        <v>16</v>
      </c>
      <c r="B22" s="5">
        <f>91.5</f>
        <v>91.5</v>
      </c>
      <c r="C22" s="4"/>
      <c r="D22" s="5">
        <f>45.75</f>
        <v>45.75</v>
      </c>
      <c r="E22" s="5">
        <f t="shared" ref="E22:E92" si="1">((B22)+(C22))+(D22)</f>
        <v>137.25</v>
      </c>
      <c r="P22" s="30"/>
      <c r="R22" s="7">
        <v>45.75</v>
      </c>
      <c r="T22" t="s">
        <v>81</v>
      </c>
    </row>
    <row r="23" spans="1:20" x14ac:dyDescent="0.3">
      <c r="A23" s="20" t="s">
        <v>17</v>
      </c>
      <c r="B23" s="5">
        <f>330</f>
        <v>330</v>
      </c>
      <c r="C23" s="4"/>
      <c r="D23" s="4"/>
      <c r="E23" s="5">
        <f t="shared" si="1"/>
        <v>330</v>
      </c>
      <c r="P23" s="30"/>
    </row>
    <row r="24" spans="1:20" x14ac:dyDescent="0.3">
      <c r="A24" s="20" t="s">
        <v>18</v>
      </c>
      <c r="B24" s="4"/>
      <c r="C24" s="5">
        <f>38612.78</f>
        <v>38612.78</v>
      </c>
      <c r="D24" s="5">
        <f>77225.56</f>
        <v>77225.56</v>
      </c>
      <c r="E24" s="5">
        <f t="shared" si="1"/>
        <v>115838.34</v>
      </c>
      <c r="I24" s="7">
        <v>38612.78</v>
      </c>
      <c r="K24" t="s">
        <v>30</v>
      </c>
      <c r="P24" s="30"/>
      <c r="R24" s="7">
        <f>+S24+S25</f>
        <v>77225.56</v>
      </c>
      <c r="S24" s="11">
        <v>38612.78</v>
      </c>
      <c r="T24" t="s">
        <v>30</v>
      </c>
    </row>
    <row r="25" spans="1:20" x14ac:dyDescent="0.3">
      <c r="A25" s="20"/>
      <c r="B25" s="4"/>
      <c r="C25" s="5"/>
      <c r="D25" s="5"/>
      <c r="E25" s="5"/>
      <c r="P25" s="30"/>
      <c r="S25" s="13">
        <v>38612.78</v>
      </c>
      <c r="T25" t="s">
        <v>30</v>
      </c>
    </row>
    <row r="26" spans="1:20" x14ac:dyDescent="0.3">
      <c r="A26" s="20"/>
      <c r="B26" s="4"/>
      <c r="C26" s="5"/>
      <c r="D26" s="5"/>
      <c r="E26" s="5"/>
      <c r="P26" s="30"/>
    </row>
    <row r="27" spans="1:20" x14ac:dyDescent="0.3">
      <c r="A27" s="20"/>
      <c r="B27" s="4"/>
      <c r="C27" s="5"/>
      <c r="D27" s="5"/>
      <c r="E27" s="5"/>
      <c r="P27" s="30"/>
    </row>
    <row r="28" spans="1:20" x14ac:dyDescent="0.3">
      <c r="A28" s="20" t="s">
        <v>19</v>
      </c>
      <c r="B28" s="5">
        <f>4375</f>
        <v>4375</v>
      </c>
      <c r="C28" s="5">
        <f>3420</f>
        <v>3420</v>
      </c>
      <c r="D28" s="5">
        <f>17695</f>
        <v>17695</v>
      </c>
      <c r="E28" s="5">
        <f t="shared" si="1"/>
        <v>25490</v>
      </c>
      <c r="I28" s="7">
        <v>3420</v>
      </c>
      <c r="J28" s="7" t="s">
        <v>54</v>
      </c>
      <c r="K28" t="s">
        <v>44</v>
      </c>
      <c r="P28" s="30"/>
      <c r="R28" s="7">
        <f>SUM(S29:S30)</f>
        <v>6570</v>
      </c>
      <c r="T28" t="s">
        <v>44</v>
      </c>
    </row>
    <row r="29" spans="1:20" x14ac:dyDescent="0.3">
      <c r="A29" s="20"/>
      <c r="B29" s="5"/>
      <c r="C29" s="5"/>
      <c r="D29" s="5"/>
      <c r="E29" s="5"/>
      <c r="P29" s="30"/>
      <c r="S29" s="11">
        <v>1320</v>
      </c>
      <c r="T29" t="s">
        <v>44</v>
      </c>
    </row>
    <row r="30" spans="1:20" x14ac:dyDescent="0.3">
      <c r="A30" s="20" t="s">
        <v>20</v>
      </c>
      <c r="B30" s="4"/>
      <c r="C30" s="5">
        <f>50</f>
        <v>50</v>
      </c>
      <c r="D30" s="4"/>
      <c r="E30" s="5">
        <f t="shared" si="1"/>
        <v>50</v>
      </c>
      <c r="I30" s="10">
        <f>+J30+J31</f>
        <v>300.38</v>
      </c>
      <c r="J30" s="11">
        <v>50</v>
      </c>
      <c r="L30" t="s">
        <v>45</v>
      </c>
      <c r="P30" s="30"/>
      <c r="S30" s="13">
        <v>5250</v>
      </c>
      <c r="T30" t="s">
        <v>44</v>
      </c>
    </row>
    <row r="31" spans="1:20" x14ac:dyDescent="0.3">
      <c r="A31" s="20"/>
      <c r="B31" s="4"/>
      <c r="C31" s="5"/>
      <c r="D31" s="4"/>
      <c r="E31" s="5"/>
      <c r="J31" s="13">
        <v>250.38</v>
      </c>
      <c r="L31" t="s">
        <v>46</v>
      </c>
      <c r="P31" s="30"/>
    </row>
    <row r="32" spans="1:20" x14ac:dyDescent="0.3">
      <c r="A32" s="20"/>
      <c r="B32" s="4"/>
      <c r="C32" s="5"/>
      <c r="D32" s="4"/>
      <c r="E32" s="5"/>
      <c r="P32" s="30"/>
    </row>
    <row r="33" spans="1:20" x14ac:dyDescent="0.3">
      <c r="A33" s="20" t="s">
        <v>21</v>
      </c>
      <c r="B33" s="5">
        <f>507.93</f>
        <v>507.93</v>
      </c>
      <c r="C33" s="5">
        <f>447.57</f>
        <v>447.57</v>
      </c>
      <c r="D33" s="5">
        <f>3477.76</f>
        <v>3477.76</v>
      </c>
      <c r="E33" s="5">
        <f t="shared" si="1"/>
        <v>4433.26</v>
      </c>
      <c r="I33" s="10">
        <f>SUM(J33:J35)</f>
        <v>1038.58</v>
      </c>
      <c r="J33" s="11">
        <v>457.41</v>
      </c>
      <c r="L33" t="s">
        <v>48</v>
      </c>
      <c r="P33" s="30"/>
      <c r="R33" s="7">
        <f>+S34+S33</f>
        <v>465.66</v>
      </c>
      <c r="S33" s="11">
        <v>143.80000000000001</v>
      </c>
      <c r="T33" t="s">
        <v>91</v>
      </c>
    </row>
    <row r="34" spans="1:20" x14ac:dyDescent="0.3">
      <c r="A34" s="20"/>
      <c r="B34" s="5"/>
      <c r="C34" s="5"/>
      <c r="D34" s="5"/>
      <c r="E34" s="5"/>
      <c r="J34" s="12">
        <v>482.12</v>
      </c>
      <c r="L34" t="s">
        <v>48</v>
      </c>
      <c r="P34" s="30"/>
      <c r="S34" s="13">
        <v>321.86</v>
      </c>
      <c r="T34" t="s">
        <v>56</v>
      </c>
    </row>
    <row r="35" spans="1:20" x14ac:dyDescent="0.3">
      <c r="A35" s="20"/>
      <c r="B35" s="5"/>
      <c r="C35" s="5"/>
      <c r="D35" s="5"/>
      <c r="E35" s="5"/>
      <c r="J35" s="13">
        <v>99.05</v>
      </c>
      <c r="L35" t="s">
        <v>56</v>
      </c>
      <c r="P35" s="30"/>
    </row>
    <row r="36" spans="1:20" x14ac:dyDescent="0.3">
      <c r="A36" s="20"/>
      <c r="B36" s="5"/>
      <c r="C36" s="5"/>
      <c r="D36" s="5"/>
      <c r="E36" s="5"/>
      <c r="P36" s="30"/>
    </row>
    <row r="37" spans="1:20" x14ac:dyDescent="0.3">
      <c r="A37" s="20" t="s">
        <v>67</v>
      </c>
      <c r="B37" s="5">
        <f>1080</f>
        <v>1080</v>
      </c>
      <c r="C37" s="5">
        <f>2280</f>
        <v>2280</v>
      </c>
      <c r="D37" s="5">
        <f>4070</f>
        <v>4070</v>
      </c>
      <c r="E37" s="5">
        <f t="shared" si="1"/>
        <v>7430</v>
      </c>
      <c r="I37" s="7">
        <f>+J37</f>
        <v>1200</v>
      </c>
      <c r="J37" s="7">
        <v>1200</v>
      </c>
      <c r="L37" t="s">
        <v>188</v>
      </c>
      <c r="P37" s="30"/>
      <c r="R37" s="7">
        <v>1410</v>
      </c>
      <c r="T37" t="s">
        <v>189</v>
      </c>
    </row>
    <row r="38" spans="1:20" x14ac:dyDescent="0.3">
      <c r="A38" s="20"/>
      <c r="B38" s="5"/>
      <c r="C38" s="5"/>
      <c r="D38" s="5"/>
      <c r="E38" s="5"/>
      <c r="P38" s="30"/>
    </row>
    <row r="39" spans="1:20" x14ac:dyDescent="0.3">
      <c r="A39" s="20" t="s">
        <v>64</v>
      </c>
      <c r="B39" s="4"/>
      <c r="C39" s="4"/>
      <c r="D39" s="5">
        <f>98.54</f>
        <v>98.54</v>
      </c>
      <c r="E39" s="5">
        <f t="shared" si="1"/>
        <v>98.54</v>
      </c>
      <c r="P39" s="30"/>
      <c r="R39" s="7">
        <f>+S39+S40</f>
        <v>98.539999999999992</v>
      </c>
      <c r="S39" s="11">
        <v>55</v>
      </c>
      <c r="T39" t="s">
        <v>97</v>
      </c>
    </row>
    <row r="40" spans="1:20" x14ac:dyDescent="0.3">
      <c r="A40" s="20"/>
      <c r="B40" s="4"/>
      <c r="C40" s="4"/>
      <c r="D40" s="5"/>
      <c r="E40" s="5"/>
      <c r="P40" s="30"/>
      <c r="S40" s="13">
        <v>43.54</v>
      </c>
      <c r="T40" t="s">
        <v>97</v>
      </c>
    </row>
    <row r="41" spans="1:20" x14ac:dyDescent="0.3">
      <c r="A41" s="20"/>
      <c r="B41" s="4"/>
      <c r="C41" s="4"/>
      <c r="D41" s="5"/>
      <c r="E41" s="5"/>
      <c r="P41" s="30"/>
    </row>
    <row r="42" spans="1:20" x14ac:dyDescent="0.3">
      <c r="A42" s="20" t="s">
        <v>65</v>
      </c>
      <c r="B42" s="6" t="e">
        <f>(#REF!)+(B39)</f>
        <v>#REF!</v>
      </c>
      <c r="C42" s="6" t="e">
        <f>(#REF!)+(C39)</f>
        <v>#REF!</v>
      </c>
      <c r="D42" s="6" t="e">
        <f>(#REF!)+(D39)</f>
        <v>#REF!</v>
      </c>
      <c r="E42" s="6" t="e">
        <f t="shared" si="1"/>
        <v>#REF!</v>
      </c>
      <c r="I42" s="7">
        <v>780</v>
      </c>
      <c r="J42" s="7" t="s">
        <v>54</v>
      </c>
      <c r="L42" t="s">
        <v>62</v>
      </c>
      <c r="P42" s="30"/>
      <c r="R42" s="7">
        <f>SUM(S42:S44)</f>
        <v>2620</v>
      </c>
      <c r="S42" s="11">
        <v>1287.5</v>
      </c>
      <c r="T42" t="s">
        <v>62</v>
      </c>
    </row>
    <row r="43" spans="1:20" x14ac:dyDescent="0.3">
      <c r="A43" s="20"/>
      <c r="B43" s="8"/>
      <c r="C43" s="8"/>
      <c r="D43" s="8"/>
      <c r="E43" s="8"/>
      <c r="P43" s="30"/>
      <c r="S43" s="12">
        <v>747.5</v>
      </c>
      <c r="T43" t="s">
        <v>62</v>
      </c>
    </row>
    <row r="44" spans="1:20" x14ac:dyDescent="0.3">
      <c r="A44" s="20"/>
      <c r="B44" s="8"/>
      <c r="C44" s="8"/>
      <c r="D44" s="8"/>
      <c r="E44" s="8"/>
      <c r="P44" s="30"/>
      <c r="S44" s="13">
        <v>585</v>
      </c>
      <c r="T44" t="s">
        <v>62</v>
      </c>
    </row>
    <row r="45" spans="1:20" x14ac:dyDescent="0.3">
      <c r="A45" s="20" t="s">
        <v>66</v>
      </c>
      <c r="B45" s="5">
        <f>1190</f>
        <v>1190</v>
      </c>
      <c r="C45" s="5">
        <f>302.5</f>
        <v>302.5</v>
      </c>
      <c r="D45" s="5">
        <f>2435</f>
        <v>2435</v>
      </c>
      <c r="E45" s="5">
        <f t="shared" si="1"/>
        <v>3927.5</v>
      </c>
      <c r="I45" s="7">
        <v>302.5</v>
      </c>
      <c r="J45" s="7" t="s">
        <v>54</v>
      </c>
      <c r="L45" t="s">
        <v>42</v>
      </c>
      <c r="P45" s="30"/>
    </row>
    <row r="46" spans="1:20" x14ac:dyDescent="0.3">
      <c r="A46" s="3"/>
      <c r="B46" s="5"/>
      <c r="C46" s="5"/>
      <c r="D46" s="5"/>
      <c r="E46" s="5"/>
      <c r="P46" s="30"/>
    </row>
    <row r="47" spans="1:20" ht="15.6" x14ac:dyDescent="0.3">
      <c r="A47" s="9" t="s">
        <v>77</v>
      </c>
      <c r="B47" s="4"/>
      <c r="C47" s="4"/>
      <c r="D47" s="4"/>
      <c r="E47" s="5">
        <f t="shared" si="1"/>
        <v>0</v>
      </c>
      <c r="P47" s="30"/>
    </row>
    <row r="48" spans="1:20" x14ac:dyDescent="0.3">
      <c r="A48" s="3"/>
      <c r="B48" s="4"/>
      <c r="C48" s="4"/>
      <c r="D48" s="4"/>
      <c r="E48" s="5"/>
      <c r="P48" s="30"/>
    </row>
    <row r="49" spans="1:20" x14ac:dyDescent="0.3">
      <c r="A49" s="20" t="s">
        <v>75</v>
      </c>
      <c r="B49" s="4"/>
      <c r="C49" s="5">
        <f>3500</f>
        <v>3500</v>
      </c>
      <c r="D49" s="5">
        <f>3500</f>
        <v>3500</v>
      </c>
      <c r="E49" s="5">
        <f t="shared" si="1"/>
        <v>7000</v>
      </c>
      <c r="I49" s="7">
        <v>3500</v>
      </c>
      <c r="L49" t="s">
        <v>29</v>
      </c>
      <c r="P49" s="30"/>
    </row>
    <row r="50" spans="1:20" x14ac:dyDescent="0.3">
      <c r="A50" s="20" t="s">
        <v>76</v>
      </c>
      <c r="B50" s="5">
        <f>3569</f>
        <v>3569</v>
      </c>
      <c r="C50" s="5">
        <f>22288.72</f>
        <v>22288.720000000001</v>
      </c>
      <c r="D50" s="5">
        <f>20741.82</f>
        <v>20741.82</v>
      </c>
      <c r="E50" s="5">
        <f t="shared" si="1"/>
        <v>46599.54</v>
      </c>
      <c r="I50" s="10">
        <f>SUM(J50:J58)</f>
        <v>17901.810000000001</v>
      </c>
      <c r="J50" s="11">
        <v>4028</v>
      </c>
      <c r="L50" t="s">
        <v>31</v>
      </c>
      <c r="P50" s="30"/>
      <c r="R50" s="7">
        <f>SUM(S50:S56)</f>
        <v>10937.89</v>
      </c>
      <c r="S50" s="11">
        <v>81.62</v>
      </c>
      <c r="T50" t="s">
        <v>80</v>
      </c>
    </row>
    <row r="51" spans="1:20" x14ac:dyDescent="0.3">
      <c r="A51" s="20"/>
      <c r="B51" s="5"/>
      <c r="C51" s="5"/>
      <c r="D51" s="5"/>
      <c r="E51" s="5"/>
      <c r="J51" s="12">
        <v>1219.8</v>
      </c>
      <c r="L51" t="s">
        <v>38</v>
      </c>
      <c r="P51" s="30"/>
      <c r="S51" s="12">
        <v>80.25</v>
      </c>
      <c r="T51" t="s">
        <v>80</v>
      </c>
    </row>
    <row r="52" spans="1:20" x14ac:dyDescent="0.3">
      <c r="A52" s="20"/>
      <c r="B52" s="5"/>
      <c r="C52" s="5"/>
      <c r="D52" s="5"/>
      <c r="E52" s="5"/>
      <c r="J52" s="12">
        <v>604</v>
      </c>
      <c r="L52" t="s">
        <v>38</v>
      </c>
      <c r="P52" s="30"/>
      <c r="S52" s="12">
        <v>1440</v>
      </c>
      <c r="T52" t="s">
        <v>83</v>
      </c>
    </row>
    <row r="53" spans="1:20" x14ac:dyDescent="0.3">
      <c r="A53" s="20"/>
      <c r="B53" s="5"/>
      <c r="C53" s="5"/>
      <c r="D53" s="5"/>
      <c r="E53" s="5"/>
      <c r="J53" s="12">
        <v>250</v>
      </c>
      <c r="L53" t="s">
        <v>32</v>
      </c>
      <c r="P53" s="30"/>
      <c r="S53" s="12">
        <v>270</v>
      </c>
      <c r="T53" t="s">
        <v>84</v>
      </c>
    </row>
    <row r="54" spans="1:20" x14ac:dyDescent="0.3">
      <c r="A54" s="20"/>
      <c r="B54" s="5"/>
      <c r="C54" s="5"/>
      <c r="D54" s="5"/>
      <c r="E54" s="5"/>
      <c r="J54" s="12">
        <v>588.23</v>
      </c>
      <c r="L54" t="s">
        <v>39</v>
      </c>
      <c r="P54" s="30"/>
      <c r="S54" s="12">
        <v>221.02</v>
      </c>
      <c r="T54" t="s">
        <v>36</v>
      </c>
    </row>
    <row r="55" spans="1:20" x14ac:dyDescent="0.3">
      <c r="A55" s="20"/>
      <c r="B55" s="5"/>
      <c r="C55" s="5"/>
      <c r="D55" s="5"/>
      <c r="E55" s="5"/>
      <c r="J55" s="12">
        <v>370.57</v>
      </c>
      <c r="P55" s="30"/>
      <c r="S55" s="12">
        <v>400</v>
      </c>
      <c r="T55" t="s">
        <v>86</v>
      </c>
    </row>
    <row r="56" spans="1:20" x14ac:dyDescent="0.3">
      <c r="A56" s="21"/>
      <c r="B56" s="5"/>
      <c r="C56" s="5"/>
      <c r="D56" s="5"/>
      <c r="E56" s="5"/>
      <c r="J56" s="12">
        <v>236.21</v>
      </c>
      <c r="L56" t="s">
        <v>36</v>
      </c>
      <c r="P56" s="30"/>
      <c r="S56" s="13">
        <v>8445</v>
      </c>
      <c r="T56" t="s">
        <v>190</v>
      </c>
    </row>
    <row r="57" spans="1:20" x14ac:dyDescent="0.3">
      <c r="A57" s="21"/>
      <c r="B57" s="5"/>
      <c r="C57" s="5"/>
      <c r="D57" s="5"/>
      <c r="E57" s="5"/>
      <c r="J57" s="12">
        <v>605</v>
      </c>
      <c r="L57" t="s">
        <v>49</v>
      </c>
      <c r="P57" s="30"/>
    </row>
    <row r="58" spans="1:20" x14ac:dyDescent="0.3">
      <c r="A58" s="21"/>
      <c r="B58" s="5"/>
      <c r="C58" s="5"/>
      <c r="D58" s="5"/>
      <c r="E58" s="5"/>
      <c r="J58" s="13">
        <v>10000</v>
      </c>
      <c r="L58" t="s">
        <v>52</v>
      </c>
      <c r="P58" s="30"/>
      <c r="S58" s="7" t="s">
        <v>54</v>
      </c>
    </row>
    <row r="59" spans="1:20" x14ac:dyDescent="0.3">
      <c r="A59" s="21"/>
      <c r="B59" s="5"/>
      <c r="C59" s="5"/>
      <c r="D59" s="5"/>
      <c r="E59" s="5"/>
      <c r="P59" s="30"/>
    </row>
    <row r="60" spans="1:20" x14ac:dyDescent="0.3">
      <c r="A60" s="20" t="s">
        <v>69</v>
      </c>
      <c r="B60" s="5"/>
      <c r="C60" s="5"/>
      <c r="D60" s="5"/>
      <c r="E60" s="5"/>
      <c r="I60" s="7">
        <v>658.19</v>
      </c>
      <c r="J60" s="7" t="s">
        <v>54</v>
      </c>
      <c r="L60" s="7" t="s">
        <v>47</v>
      </c>
      <c r="P60" s="30"/>
      <c r="R60" s="7">
        <v>658.19</v>
      </c>
      <c r="T60" s="7" t="s">
        <v>47</v>
      </c>
    </row>
    <row r="61" spans="1:20" x14ac:dyDescent="0.3">
      <c r="A61" s="20"/>
      <c r="B61" s="5"/>
      <c r="C61" s="5"/>
      <c r="D61" s="5"/>
      <c r="E61" s="5"/>
      <c r="L61" s="7"/>
      <c r="P61" s="30"/>
    </row>
    <row r="62" spans="1:20" x14ac:dyDescent="0.3">
      <c r="A62" s="20" t="s">
        <v>70</v>
      </c>
      <c r="B62" s="5"/>
      <c r="C62" s="5"/>
      <c r="D62" s="5"/>
      <c r="E62" s="5"/>
      <c r="I62" s="7">
        <f>SUM(J62:J68)</f>
        <v>3522.34</v>
      </c>
      <c r="J62" s="11">
        <v>1675.26</v>
      </c>
      <c r="L62" t="s">
        <v>35</v>
      </c>
      <c r="P62" s="30"/>
      <c r="R62" s="7">
        <f>SUM(S62:S66)</f>
        <v>7332.01</v>
      </c>
      <c r="S62" s="11">
        <v>1671.1</v>
      </c>
      <c r="T62" t="s">
        <v>82</v>
      </c>
    </row>
    <row r="63" spans="1:20" x14ac:dyDescent="0.3">
      <c r="A63" s="20"/>
      <c r="B63" s="5"/>
      <c r="C63" s="5"/>
      <c r="D63" s="5"/>
      <c r="E63" s="5"/>
      <c r="J63" s="12">
        <v>338.12</v>
      </c>
      <c r="L63" t="s">
        <v>50</v>
      </c>
      <c r="P63" s="30"/>
      <c r="S63" s="12">
        <v>471.82</v>
      </c>
      <c r="T63" t="s">
        <v>50</v>
      </c>
    </row>
    <row r="64" spans="1:20" x14ac:dyDescent="0.3">
      <c r="A64" s="20"/>
      <c r="B64" s="5"/>
      <c r="C64" s="5"/>
      <c r="D64" s="5"/>
      <c r="E64" s="5"/>
      <c r="J64" s="12">
        <v>496.48</v>
      </c>
      <c r="L64" t="s">
        <v>50</v>
      </c>
      <c r="P64" s="30"/>
      <c r="S64" s="12">
        <v>2834.04</v>
      </c>
      <c r="T64" t="s">
        <v>48</v>
      </c>
    </row>
    <row r="65" spans="1:20" x14ac:dyDescent="0.3">
      <c r="A65" s="20"/>
      <c r="B65" s="5"/>
      <c r="C65" s="5"/>
      <c r="D65" s="5"/>
      <c r="E65" s="5"/>
      <c r="J65" s="12">
        <v>208.47</v>
      </c>
      <c r="L65" t="s">
        <v>35</v>
      </c>
      <c r="P65" s="30"/>
      <c r="S65" s="12">
        <v>275</v>
      </c>
      <c r="T65" t="s">
        <v>92</v>
      </c>
    </row>
    <row r="66" spans="1:20" x14ac:dyDescent="0.3">
      <c r="A66" s="20"/>
      <c r="B66" s="5"/>
      <c r="C66" s="5"/>
      <c r="D66" s="5"/>
      <c r="E66" s="5"/>
      <c r="J66" s="12">
        <v>263.01</v>
      </c>
      <c r="L66" t="s">
        <v>35</v>
      </c>
      <c r="P66" s="30"/>
      <c r="S66" s="13">
        <v>2080.0500000000002</v>
      </c>
      <c r="T66" t="s">
        <v>63</v>
      </c>
    </row>
    <row r="67" spans="1:20" x14ac:dyDescent="0.3">
      <c r="A67" s="20"/>
      <c r="B67" s="5"/>
      <c r="C67" s="5"/>
      <c r="D67" s="5"/>
      <c r="E67" s="5"/>
      <c r="J67" s="12">
        <v>41</v>
      </c>
      <c r="L67" t="s">
        <v>35</v>
      </c>
      <c r="P67" s="30"/>
    </row>
    <row r="68" spans="1:20" x14ac:dyDescent="0.3">
      <c r="A68" s="20"/>
      <c r="B68" s="5"/>
      <c r="C68" s="5"/>
      <c r="D68" s="5"/>
      <c r="E68" s="5"/>
      <c r="J68" s="13">
        <v>500</v>
      </c>
      <c r="L68" t="s">
        <v>63</v>
      </c>
      <c r="P68" s="30"/>
    </row>
    <row r="69" spans="1:20" x14ac:dyDescent="0.3">
      <c r="A69" s="20"/>
      <c r="B69" s="5"/>
      <c r="C69" s="5"/>
      <c r="D69" s="5"/>
      <c r="E69" s="5"/>
      <c r="P69" s="30"/>
    </row>
    <row r="70" spans="1:20" x14ac:dyDescent="0.3">
      <c r="A70" s="20" t="s">
        <v>23</v>
      </c>
      <c r="B70" s="5"/>
      <c r="C70" s="5"/>
      <c r="D70" s="5"/>
      <c r="E70" s="5"/>
      <c r="I70" s="7">
        <v>2529</v>
      </c>
      <c r="L70" t="s">
        <v>37</v>
      </c>
      <c r="P70" s="30"/>
      <c r="R70" s="7">
        <v>256.99</v>
      </c>
      <c r="T70" t="s">
        <v>85</v>
      </c>
    </row>
    <row r="71" spans="1:20" x14ac:dyDescent="0.3">
      <c r="A71" s="20"/>
      <c r="B71" s="5"/>
      <c r="C71" s="5"/>
      <c r="D71" s="5"/>
      <c r="E71" s="5"/>
      <c r="P71" s="30"/>
    </row>
    <row r="72" spans="1:20" x14ac:dyDescent="0.3">
      <c r="A72" s="20" t="s">
        <v>25</v>
      </c>
      <c r="B72" s="5"/>
      <c r="C72" s="5"/>
      <c r="D72" s="5"/>
      <c r="E72" s="5"/>
      <c r="I72" s="7">
        <v>964.39</v>
      </c>
      <c r="L72" t="s">
        <v>40</v>
      </c>
      <c r="P72" s="30"/>
      <c r="R72" s="7">
        <v>964.39</v>
      </c>
      <c r="T72" t="s">
        <v>40</v>
      </c>
    </row>
    <row r="73" spans="1:20" x14ac:dyDescent="0.3">
      <c r="A73" s="20"/>
      <c r="B73" s="5"/>
      <c r="C73" s="5"/>
      <c r="D73" s="5"/>
      <c r="E73" s="5"/>
      <c r="P73" s="30"/>
    </row>
    <row r="74" spans="1:20" x14ac:dyDescent="0.3">
      <c r="A74" s="20" t="s">
        <v>22</v>
      </c>
      <c r="B74" s="5">
        <f>4300</f>
        <v>4300</v>
      </c>
      <c r="C74" s="5">
        <f>4382.01</f>
        <v>4382.01</v>
      </c>
      <c r="D74" s="5">
        <f>7400</f>
        <v>7400</v>
      </c>
      <c r="E74" s="5">
        <f>((B74)+(C74))+(D74)</f>
        <v>16082.01</v>
      </c>
      <c r="I74" s="7">
        <v>2600</v>
      </c>
      <c r="L74" t="s">
        <v>34</v>
      </c>
      <c r="P74" s="30"/>
      <c r="R74" s="7">
        <f>SUM(S74:S76)</f>
        <v>7400</v>
      </c>
      <c r="S74" s="11">
        <v>2200</v>
      </c>
      <c r="T74" t="s">
        <v>34</v>
      </c>
    </row>
    <row r="75" spans="1:20" x14ac:dyDescent="0.3">
      <c r="A75" s="3"/>
      <c r="B75" s="5"/>
      <c r="C75" s="5"/>
      <c r="D75" s="5"/>
      <c r="E75" s="5"/>
      <c r="P75" s="30"/>
      <c r="S75" s="12">
        <v>2600</v>
      </c>
      <c r="T75" t="s">
        <v>34</v>
      </c>
    </row>
    <row r="76" spans="1:20" x14ac:dyDescent="0.3">
      <c r="A76" s="3"/>
      <c r="B76" s="5"/>
      <c r="C76" s="5"/>
      <c r="D76" s="5"/>
      <c r="E76" s="5"/>
      <c r="P76" s="30"/>
      <c r="S76" s="13">
        <v>2600</v>
      </c>
      <c r="T76" t="s">
        <v>34</v>
      </c>
    </row>
    <row r="77" spans="1:20" ht="15.6" x14ac:dyDescent="0.3">
      <c r="A77" s="9" t="s">
        <v>24</v>
      </c>
      <c r="B77" s="5"/>
      <c r="C77" s="5"/>
      <c r="D77" s="5"/>
      <c r="E77" s="5"/>
      <c r="P77" s="30"/>
    </row>
    <row r="78" spans="1:20" x14ac:dyDescent="0.3">
      <c r="A78" s="3"/>
      <c r="B78" s="5"/>
      <c r="C78" s="5"/>
      <c r="D78" s="5"/>
      <c r="E78" s="5"/>
      <c r="P78" s="30"/>
    </row>
    <row r="79" spans="1:20" x14ac:dyDescent="0.3">
      <c r="A79" s="20" t="s">
        <v>73</v>
      </c>
      <c r="B79" s="5"/>
      <c r="C79" s="5"/>
      <c r="D79" s="5"/>
      <c r="E79" s="5"/>
      <c r="I79" s="7">
        <f>SUM(J79:J86)</f>
        <v>2747.58</v>
      </c>
      <c r="J79" s="11">
        <v>446.39</v>
      </c>
      <c r="L79" t="s">
        <v>41</v>
      </c>
      <c r="P79" s="30"/>
      <c r="R79" s="7">
        <f>SUM(S79:S81)</f>
        <v>947</v>
      </c>
      <c r="S79" s="11">
        <v>212.04</v>
      </c>
      <c r="T79" t="s">
        <v>55</v>
      </c>
    </row>
    <row r="80" spans="1:20" x14ac:dyDescent="0.3">
      <c r="A80" s="20"/>
      <c r="B80" s="5"/>
      <c r="C80" s="5"/>
      <c r="D80" s="5"/>
      <c r="E80" s="5"/>
      <c r="J80" s="12">
        <v>348.27</v>
      </c>
      <c r="L80" t="s">
        <v>41</v>
      </c>
      <c r="P80" s="30"/>
      <c r="S80" s="12">
        <v>370.26</v>
      </c>
      <c r="T80" t="s">
        <v>55</v>
      </c>
    </row>
    <row r="81" spans="1:20" x14ac:dyDescent="0.3">
      <c r="A81" s="20"/>
      <c r="B81" s="5"/>
      <c r="C81" s="5"/>
      <c r="D81" s="5"/>
      <c r="E81" s="5"/>
      <c r="J81" s="12">
        <f>250.08-3</f>
        <v>247.08</v>
      </c>
      <c r="L81" t="s">
        <v>41</v>
      </c>
      <c r="P81" s="30"/>
      <c r="S81" s="13">
        <v>364.7</v>
      </c>
      <c r="T81" t="s">
        <v>55</v>
      </c>
    </row>
    <row r="82" spans="1:20" x14ac:dyDescent="0.3">
      <c r="A82" s="20"/>
      <c r="B82" s="5"/>
      <c r="C82" s="5"/>
      <c r="D82" s="5"/>
      <c r="E82" s="5"/>
      <c r="J82" s="12">
        <v>207.66</v>
      </c>
      <c r="L82" t="s">
        <v>41</v>
      </c>
      <c r="P82" s="30"/>
    </row>
    <row r="83" spans="1:20" x14ac:dyDescent="0.3">
      <c r="A83" s="20"/>
      <c r="B83" s="5"/>
      <c r="C83" s="5"/>
      <c r="D83" s="5"/>
      <c r="E83" s="5"/>
      <c r="J83" s="12">
        <v>246.26</v>
      </c>
      <c r="L83" t="s">
        <v>55</v>
      </c>
      <c r="P83" s="30"/>
    </row>
    <row r="84" spans="1:20" x14ac:dyDescent="0.3">
      <c r="A84" s="20"/>
      <c r="B84" s="5"/>
      <c r="C84" s="5"/>
      <c r="D84" s="5"/>
      <c r="E84" s="5"/>
      <c r="J84" s="12">
        <v>342.23</v>
      </c>
      <c r="L84" t="s">
        <v>55</v>
      </c>
      <c r="P84" s="30"/>
    </row>
    <row r="85" spans="1:20" x14ac:dyDescent="0.3">
      <c r="A85" s="20"/>
      <c r="B85" s="5"/>
      <c r="C85" s="5"/>
      <c r="D85" s="5"/>
      <c r="E85" s="5"/>
      <c r="J85" s="12">
        <v>370.86</v>
      </c>
      <c r="L85" t="s">
        <v>55</v>
      </c>
      <c r="P85" s="30"/>
    </row>
    <row r="86" spans="1:20" x14ac:dyDescent="0.3">
      <c r="A86" s="20"/>
      <c r="B86" s="5"/>
      <c r="C86" s="5"/>
      <c r="D86" s="5"/>
      <c r="E86" s="5"/>
      <c r="J86" s="13">
        <v>538.83000000000004</v>
      </c>
      <c r="L86" t="s">
        <v>55</v>
      </c>
      <c r="P86" s="30"/>
    </row>
    <row r="87" spans="1:20" x14ac:dyDescent="0.3">
      <c r="A87" s="20"/>
      <c r="B87" s="5"/>
      <c r="C87" s="5"/>
      <c r="D87" s="5"/>
      <c r="E87" s="5"/>
      <c r="P87" s="30"/>
    </row>
    <row r="88" spans="1:20" x14ac:dyDescent="0.3">
      <c r="A88" s="20" t="s">
        <v>72</v>
      </c>
      <c r="B88" s="5">
        <f>673.82</f>
        <v>673.82</v>
      </c>
      <c r="C88" s="4"/>
      <c r="D88" s="4"/>
      <c r="E88" s="5">
        <f t="shared" si="1"/>
        <v>673.82</v>
      </c>
      <c r="J88" s="7" t="s">
        <v>54</v>
      </c>
      <c r="P88" s="30"/>
    </row>
    <row r="89" spans="1:20" x14ac:dyDescent="0.3">
      <c r="A89" s="21"/>
      <c r="B89" s="4"/>
      <c r="C89" s="4"/>
      <c r="D89" s="4"/>
      <c r="E89" s="5">
        <f t="shared" si="1"/>
        <v>0</v>
      </c>
      <c r="P89" s="30"/>
    </row>
    <row r="90" spans="1:20" x14ac:dyDescent="0.3">
      <c r="A90" s="20" t="s">
        <v>89</v>
      </c>
      <c r="B90" s="4"/>
      <c r="C90" s="4"/>
      <c r="D90" s="4"/>
      <c r="E90" s="5"/>
      <c r="P90" s="30"/>
      <c r="R90" s="7">
        <v>500</v>
      </c>
      <c r="T90" t="s">
        <v>191</v>
      </c>
    </row>
    <row r="91" spans="1:20" x14ac:dyDescent="0.3">
      <c r="A91" s="21"/>
      <c r="B91" s="4"/>
      <c r="C91" s="4"/>
      <c r="D91" s="4"/>
      <c r="E91" s="5"/>
      <c r="P91" s="30"/>
    </row>
    <row r="92" spans="1:20" x14ac:dyDescent="0.3">
      <c r="A92" s="20" t="s">
        <v>68</v>
      </c>
      <c r="B92" s="5">
        <f>6025.76</f>
        <v>6025.76</v>
      </c>
      <c r="C92" s="5">
        <f>6435.9</f>
        <v>6435.9</v>
      </c>
      <c r="D92" s="5">
        <f>13141.84</f>
        <v>13141.84</v>
      </c>
      <c r="E92" s="5">
        <f t="shared" si="1"/>
        <v>25603.5</v>
      </c>
      <c r="I92" s="7">
        <f>SUM(J92:J94)</f>
        <v>6153.8399999999992</v>
      </c>
      <c r="J92" s="11">
        <v>104.24</v>
      </c>
      <c r="L92" t="s">
        <v>33</v>
      </c>
      <c r="P92" s="30"/>
      <c r="R92" s="7">
        <f>SUM(S92:S101)</f>
        <v>12853.57</v>
      </c>
      <c r="S92" s="11">
        <v>269.7</v>
      </c>
      <c r="T92" t="s">
        <v>33</v>
      </c>
    </row>
    <row r="93" spans="1:20" x14ac:dyDescent="0.3">
      <c r="A93" s="20"/>
      <c r="B93" s="5"/>
      <c r="C93" s="5"/>
      <c r="D93" s="5"/>
      <c r="E93" s="5"/>
      <c r="J93" s="12">
        <v>5821.82</v>
      </c>
      <c r="L93" t="s">
        <v>43</v>
      </c>
      <c r="P93" s="30"/>
      <c r="S93" s="12">
        <v>104.24</v>
      </c>
      <c r="T93" t="s">
        <v>33</v>
      </c>
    </row>
    <row r="94" spans="1:20" x14ac:dyDescent="0.3">
      <c r="A94" s="20"/>
      <c r="B94" s="5"/>
      <c r="C94" s="5"/>
      <c r="D94" s="5"/>
      <c r="E94" s="5"/>
      <c r="J94" s="13">
        <v>227.78</v>
      </c>
      <c r="L94" t="s">
        <v>53</v>
      </c>
      <c r="P94" s="30"/>
      <c r="S94" s="12">
        <v>69.12</v>
      </c>
      <c r="T94" t="s">
        <v>33</v>
      </c>
    </row>
    <row r="95" spans="1:20" x14ac:dyDescent="0.3">
      <c r="A95" s="20"/>
      <c r="B95" s="5"/>
      <c r="C95" s="5"/>
      <c r="D95" s="5"/>
      <c r="E95" s="5"/>
      <c r="J95" s="10"/>
      <c r="P95" s="30"/>
      <c r="S95" s="12">
        <v>227.28</v>
      </c>
      <c r="T95" t="s">
        <v>33</v>
      </c>
    </row>
    <row r="96" spans="1:20" x14ac:dyDescent="0.3">
      <c r="A96" s="20"/>
      <c r="B96" s="5"/>
      <c r="C96" s="5"/>
      <c r="D96" s="5"/>
      <c r="E96" s="5"/>
      <c r="J96" s="10"/>
      <c r="P96" s="30"/>
      <c r="S96" s="12">
        <v>5831.82</v>
      </c>
      <c r="T96" t="s">
        <v>43</v>
      </c>
    </row>
    <row r="97" spans="1:20" x14ac:dyDescent="0.3">
      <c r="A97" s="3"/>
      <c r="B97" s="5"/>
      <c r="C97" s="5"/>
      <c r="D97" s="5"/>
      <c r="E97" s="5"/>
      <c r="J97" s="10"/>
      <c r="P97" s="30"/>
      <c r="S97" s="12">
        <v>94.24</v>
      </c>
      <c r="T97" t="s">
        <v>33</v>
      </c>
    </row>
    <row r="98" spans="1:20" x14ac:dyDescent="0.3">
      <c r="A98" s="3"/>
      <c r="B98" s="5"/>
      <c r="C98" s="5"/>
      <c r="D98" s="5"/>
      <c r="E98" s="5"/>
      <c r="J98" s="10"/>
      <c r="P98" s="30"/>
      <c r="S98" s="12">
        <v>73.63</v>
      </c>
      <c r="T98" t="s">
        <v>33</v>
      </c>
    </row>
    <row r="99" spans="1:20" x14ac:dyDescent="0.3">
      <c r="A99" s="3"/>
      <c r="B99" s="5"/>
      <c r="C99" s="5"/>
      <c r="D99" s="5"/>
      <c r="E99" s="5"/>
      <c r="J99" s="10"/>
      <c r="P99" s="30"/>
      <c r="S99" s="12">
        <v>5831.82</v>
      </c>
      <c r="T99" t="s">
        <v>43</v>
      </c>
    </row>
    <row r="100" spans="1:20" x14ac:dyDescent="0.3">
      <c r="A100" s="3"/>
      <c r="B100" s="5"/>
      <c r="C100" s="5"/>
      <c r="D100" s="5"/>
      <c r="E100" s="5"/>
      <c r="J100" s="10"/>
      <c r="P100" s="30"/>
      <c r="S100" s="12">
        <v>134.85</v>
      </c>
      <c r="T100" t="s">
        <v>53</v>
      </c>
    </row>
    <row r="101" spans="1:20" x14ac:dyDescent="0.3">
      <c r="A101" s="3"/>
      <c r="B101" s="5"/>
      <c r="C101" s="5"/>
      <c r="D101" s="5"/>
      <c r="E101" s="5"/>
      <c r="J101" s="10"/>
      <c r="P101" s="30"/>
      <c r="S101" s="13">
        <v>216.87</v>
      </c>
      <c r="T101" t="s">
        <v>53</v>
      </c>
    </row>
    <row r="102" spans="1:20" ht="15.6" x14ac:dyDescent="0.3">
      <c r="A102" s="9" t="s">
        <v>71</v>
      </c>
      <c r="B102" s="5"/>
      <c r="C102" s="5"/>
      <c r="D102" s="5"/>
      <c r="E102" s="5"/>
      <c r="P102" s="30"/>
    </row>
    <row r="103" spans="1:20" ht="15.6" x14ac:dyDescent="0.3">
      <c r="A103" s="9"/>
      <c r="B103" s="5"/>
      <c r="C103" s="5"/>
      <c r="D103" s="5"/>
      <c r="E103" s="5"/>
      <c r="P103" s="30"/>
    </row>
    <row r="104" spans="1:20" x14ac:dyDescent="0.3">
      <c r="A104" s="20" t="s">
        <v>95</v>
      </c>
      <c r="I104" s="7">
        <v>0</v>
      </c>
      <c r="P104" s="30"/>
      <c r="R104" s="7">
        <v>34553.629999999997</v>
      </c>
      <c r="T104" t="s">
        <v>87</v>
      </c>
    </row>
    <row r="105" spans="1:20" x14ac:dyDescent="0.3">
      <c r="A105" s="20"/>
      <c r="P105" s="30"/>
    </row>
    <row r="106" spans="1:20" x14ac:dyDescent="0.3">
      <c r="A106" s="20" t="s">
        <v>99</v>
      </c>
      <c r="P106" s="30"/>
      <c r="R106" s="7">
        <v>1014.2</v>
      </c>
      <c r="T106" t="s">
        <v>94</v>
      </c>
    </row>
    <row r="107" spans="1:20" x14ac:dyDescent="0.3">
      <c r="A107" s="21"/>
      <c r="P107" s="30"/>
    </row>
    <row r="108" spans="1:20" x14ac:dyDescent="0.3">
      <c r="A108" s="21"/>
      <c r="P108" s="30"/>
    </row>
    <row r="109" spans="1:20" x14ac:dyDescent="0.3">
      <c r="A109" s="20"/>
      <c r="B109" s="5"/>
      <c r="C109" s="5"/>
      <c r="D109" s="5"/>
      <c r="E109" s="5"/>
      <c r="P109" s="30"/>
    </row>
    <row r="110" spans="1:20" x14ac:dyDescent="0.3">
      <c r="A110" s="20" t="s">
        <v>74</v>
      </c>
      <c r="B110" s="5"/>
      <c r="C110" s="5"/>
      <c r="D110" s="5"/>
      <c r="E110" s="5"/>
      <c r="I110" s="7">
        <f>SUM(J110:J113)</f>
        <v>2279</v>
      </c>
      <c r="J110" s="11">
        <v>569</v>
      </c>
      <c r="L110" t="s">
        <v>58</v>
      </c>
      <c r="P110" s="30"/>
      <c r="R110" s="7">
        <f>SUM(S110:S111)</f>
        <v>1138</v>
      </c>
      <c r="S110" s="11">
        <v>569</v>
      </c>
      <c r="T110" t="s">
        <v>58</v>
      </c>
    </row>
    <row r="111" spans="1:20" x14ac:dyDescent="0.3">
      <c r="A111" s="20"/>
      <c r="B111" s="5"/>
      <c r="C111" s="5"/>
      <c r="D111" s="5"/>
      <c r="E111" s="5"/>
      <c r="J111" s="12">
        <v>569</v>
      </c>
      <c r="L111" t="s">
        <v>59</v>
      </c>
      <c r="P111" s="30"/>
      <c r="S111" s="13">
        <v>569</v>
      </c>
      <c r="T111" t="s">
        <v>96</v>
      </c>
    </row>
    <row r="112" spans="1:20" x14ac:dyDescent="0.3">
      <c r="A112" s="20"/>
      <c r="B112" s="5"/>
      <c r="C112" s="5"/>
      <c r="D112" s="5"/>
      <c r="E112" s="5"/>
      <c r="J112" s="12">
        <v>570</v>
      </c>
      <c r="L112" t="s">
        <v>60</v>
      </c>
      <c r="P112" s="30"/>
    </row>
    <row r="113" spans="1:19" x14ac:dyDescent="0.3">
      <c r="A113" s="20"/>
      <c r="B113" s="5"/>
      <c r="C113" s="5"/>
      <c r="D113" s="5"/>
      <c r="E113" s="5"/>
      <c r="J113" s="13">
        <v>571</v>
      </c>
      <c r="L113" t="s">
        <v>61</v>
      </c>
      <c r="P113" s="30"/>
    </row>
    <row r="114" spans="1:19" x14ac:dyDescent="0.3">
      <c r="A114" s="20"/>
      <c r="B114" s="5"/>
      <c r="C114" s="5"/>
      <c r="D114" s="5"/>
      <c r="E114" s="5"/>
      <c r="P114" s="30"/>
    </row>
    <row r="115" spans="1:19" x14ac:dyDescent="0.3">
      <c r="A115" s="20"/>
      <c r="B115" s="5"/>
      <c r="C115" s="5"/>
      <c r="D115" s="5"/>
      <c r="E115" s="5"/>
      <c r="P115" s="30"/>
    </row>
    <row r="116" spans="1:19" x14ac:dyDescent="0.3">
      <c r="A116" s="3"/>
      <c r="B116" s="5"/>
      <c r="C116" s="5"/>
      <c r="D116" s="5"/>
      <c r="E116" s="5"/>
      <c r="P116" s="30"/>
    </row>
    <row r="117" spans="1:19" x14ac:dyDescent="0.3">
      <c r="A117" s="3"/>
      <c r="B117" s="5"/>
      <c r="C117" s="5"/>
      <c r="D117" s="5"/>
      <c r="E117" s="5"/>
      <c r="P117" s="30"/>
    </row>
    <row r="118" spans="1:19" x14ac:dyDescent="0.3">
      <c r="A118" s="3"/>
      <c r="B118" s="5"/>
      <c r="C118" s="5"/>
      <c r="D118" s="5"/>
      <c r="E118" s="5"/>
      <c r="P118" s="30"/>
    </row>
    <row r="119" spans="1:19" ht="15" thickBot="1" x14ac:dyDescent="0.35">
      <c r="A119" s="18"/>
      <c r="B119" s="5"/>
      <c r="C119" s="5"/>
      <c r="D119" s="5"/>
      <c r="E119" s="5"/>
      <c r="I119" s="15"/>
      <c r="P119" s="30"/>
      <c r="R119" s="15"/>
    </row>
    <row r="120" spans="1:19" ht="15" thickBot="1" x14ac:dyDescent="0.35">
      <c r="A120" s="3"/>
      <c r="B120" s="5"/>
      <c r="C120" s="5"/>
      <c r="D120" s="5"/>
      <c r="E120" s="5"/>
      <c r="L120" s="14" t="s">
        <v>54</v>
      </c>
      <c r="P120" s="30"/>
    </row>
    <row r="121" spans="1:19" ht="16.2" thickBot="1" x14ac:dyDescent="0.35">
      <c r="A121" s="9" t="s">
        <v>78</v>
      </c>
      <c r="B121" s="5"/>
      <c r="C121" s="5"/>
      <c r="D121" s="5"/>
      <c r="E121" s="5"/>
      <c r="I121" s="16">
        <f>SUM(I22:I119)</f>
        <v>88510.39</v>
      </c>
      <c r="L121" t="s">
        <v>54</v>
      </c>
      <c r="P121" s="30"/>
      <c r="R121" s="19">
        <f>SUM(R22:R119)</f>
        <v>166991.38</v>
      </c>
      <c r="S121" s="7" t="s">
        <v>54</v>
      </c>
    </row>
    <row r="122" spans="1:19" x14ac:dyDescent="0.3">
      <c r="A122" s="3"/>
      <c r="B122" s="5"/>
      <c r="C122" s="5"/>
      <c r="D122" s="5"/>
      <c r="E122" s="5"/>
      <c r="L122" s="14" t="s">
        <v>54</v>
      </c>
      <c r="P122" s="30"/>
    </row>
    <row r="123" spans="1:19" x14ac:dyDescent="0.3">
      <c r="P123" s="30"/>
    </row>
    <row r="124" spans="1:19" x14ac:dyDescent="0.3">
      <c r="A124" s="3"/>
      <c r="B124" s="5"/>
      <c r="C124" s="5"/>
      <c r="D124" s="5"/>
      <c r="E124" s="5"/>
    </row>
    <row r="125" spans="1:19" x14ac:dyDescent="0.3">
      <c r="A125" s="3"/>
      <c r="B125" s="5"/>
      <c r="C125" s="5"/>
      <c r="D125" s="5"/>
      <c r="E125" s="5"/>
    </row>
    <row r="126" spans="1:19" x14ac:dyDescent="0.3">
      <c r="A126" s="3"/>
      <c r="B126" s="5"/>
      <c r="C126" s="5"/>
      <c r="D126" s="5"/>
      <c r="E126" s="5"/>
    </row>
    <row r="127" spans="1:19" x14ac:dyDescent="0.3">
      <c r="A127" s="3"/>
      <c r="B127" s="5"/>
      <c r="C127" s="5"/>
      <c r="D127" s="5"/>
      <c r="E127" s="5"/>
    </row>
    <row r="128" spans="1:19" x14ac:dyDescent="0.3">
      <c r="A128" s="3"/>
      <c r="B128" s="5"/>
      <c r="C128" s="5"/>
      <c r="D128" s="5"/>
      <c r="E128" s="5"/>
    </row>
    <row r="129" spans="1:5" x14ac:dyDescent="0.3">
      <c r="A129" s="3"/>
      <c r="B129" s="5"/>
      <c r="C129" s="5"/>
      <c r="D129" s="5"/>
      <c r="E129" s="5"/>
    </row>
    <row r="130" spans="1:5" x14ac:dyDescent="0.3">
      <c r="A130" s="3"/>
      <c r="B130" s="5"/>
      <c r="C130" s="5"/>
      <c r="D130" s="5"/>
      <c r="E130" s="5"/>
    </row>
    <row r="131" spans="1:5" x14ac:dyDescent="0.3">
      <c r="A131" s="3"/>
      <c r="B131" s="5"/>
      <c r="C131" s="5"/>
      <c r="D131" s="5"/>
      <c r="E131" s="5"/>
    </row>
  </sheetData>
  <mergeCells count="5">
    <mergeCell ref="A1:E1"/>
    <mergeCell ref="A2:E2"/>
    <mergeCell ref="A3:E3"/>
    <mergeCell ref="I5:J5"/>
    <mergeCell ref="R5:S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Trend</vt:lpstr>
      <vt:lpstr>Detail Stmt Mar &amp; Apr</vt:lpstr>
      <vt:lpstr>Detail Stmt Jan &amp; Feb</vt:lpstr>
      <vt:lpstr>Detail Stmt Nov &amp; Dec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Thomas DeMaggio</cp:lastModifiedBy>
  <cp:lastPrinted>2024-05-20T16:40:35Z</cp:lastPrinted>
  <dcterms:created xsi:type="dcterms:W3CDTF">2024-03-19T00:01:00Z</dcterms:created>
  <dcterms:modified xsi:type="dcterms:W3CDTF">2024-05-21T11:01:23Z</dcterms:modified>
</cp:coreProperties>
</file>